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3.xml" ContentType="application/vnd.openxmlformats-officedocument.drawing+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4.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drawings/drawing5.xml" ContentType="application/vnd.openxmlformats-officedocument.drawing+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166925"/>
  <mc:AlternateContent xmlns:mc="http://schemas.openxmlformats.org/markup-compatibility/2006">
    <mc:Choice Requires="x15">
      <x15ac:absPath xmlns:x15ac="http://schemas.microsoft.com/office/spreadsheetml/2010/11/ac" url="G:\PLANNING\Handouts &amp; Documents\Outdoor Lighting Code\"/>
    </mc:Choice>
  </mc:AlternateContent>
  <xr:revisionPtr revIDLastSave="0" documentId="13_ncr:1_{79F49BBA-A7E7-4165-943E-14DE989D22AC}" xr6:coauthVersionLast="47" xr6:coauthVersionMax="47" xr10:uidLastSave="{00000000-0000-0000-0000-000000000000}"/>
  <bookViews>
    <workbookView xWindow="-108" yWindow="-108" windowWidth="46296" windowHeight="25416" tabRatio="857" firstSheet="1" activeTab="1" xr2:uid="{83594903-EE9E-4610-8378-C9C617625FB3}"/>
  </bookViews>
  <sheets>
    <sheet name="Changes Made" sheetId="20" state="hidden" r:id="rId1"/>
    <sheet name="Landing Page" sheetId="21" r:id="rId2"/>
    <sheet name="Definitions" sheetId="14" r:id="rId3"/>
    <sheet name="Prohibitions" sheetId="16" r:id="rId4"/>
    <sheet name="Res Overview" sheetId="18" r:id="rId5"/>
    <sheet name="Res Compliance Calculator" sheetId="2" r:id="rId6"/>
    <sheet name="Res Parcel Fail Analysis" sheetId="6" state="hidden" r:id="rId7"/>
    <sheet name="Res - Proposed Fixture analysis" sheetId="7" state="hidden" r:id="rId8"/>
    <sheet name="Res - Ordinance Values" sheetId="3" state="hidden" r:id="rId9"/>
    <sheet name="NonRes Overview" sheetId="19" r:id="rId10"/>
    <sheet name="NonRes Compliance Calculator" sheetId="9" r:id="rId11"/>
    <sheet name="Notes for Specific Applications" sheetId="17" state="hidden" r:id="rId12"/>
    <sheet name="NonRes Parcel Fail Analysis" sheetId="12" state="hidden" r:id="rId13"/>
    <sheet name="NonRes - Proposed Fixture" sheetId="13" state="hidden" r:id="rId14"/>
    <sheet name="Non-res - Ordinance Values" sheetId="10" state="hidden" r:id="rId15"/>
    <sheet name="Ref - Zone Districts" sheetId="1" state="hidden" r:id="rId16"/>
    <sheet name="Res - existing Fixtures" sheetId="8" state="hidden" r:id="rId17"/>
    <sheet name="Nonres - existing fixtures" sheetId="15" state="hidden" r:id="rId18"/>
  </sheets>
  <definedNames>
    <definedName name="_xlnm._FilterDatabase" localSheetId="15" hidden="1">'Ref - Zone Districts'!$B$3:$D$31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5" i="6" l="1"/>
  <c r="D115" i="9"/>
  <c r="D123" i="9"/>
  <c r="D124" i="9"/>
  <c r="D125" i="9"/>
  <c r="D126" i="9"/>
  <c r="D127" i="9"/>
  <c r="D122" i="9"/>
  <c r="K100" i="9"/>
  <c r="K101" i="9"/>
  <c r="K102" i="9"/>
  <c r="K103" i="9"/>
  <c r="K104" i="9"/>
  <c r="K105" i="9"/>
  <c r="K106" i="9"/>
  <c r="K107" i="9"/>
  <c r="K108" i="9"/>
  <c r="K109" i="9"/>
  <c r="K110" i="9"/>
  <c r="K111" i="9"/>
  <c r="H100" i="9"/>
  <c r="D117" i="9" s="1"/>
  <c r="H101" i="9"/>
  <c r="H102" i="9"/>
  <c r="H103" i="9"/>
  <c r="H104" i="9"/>
  <c r="H105" i="9"/>
  <c r="H106" i="9"/>
  <c r="H107" i="9"/>
  <c r="H108" i="9"/>
  <c r="H109" i="9"/>
  <c r="H110" i="9"/>
  <c r="H111" i="9"/>
  <c r="B6" i="9"/>
  <c r="C19" i="9"/>
  <c r="K104" i="19"/>
  <c r="K105" i="19"/>
  <c r="K106" i="19"/>
  <c r="K107" i="19"/>
  <c r="K108" i="19"/>
  <c r="K109" i="19"/>
  <c r="K110" i="19"/>
  <c r="K111" i="19"/>
  <c r="K112" i="19"/>
  <c r="K113" i="19"/>
  <c r="K114" i="19"/>
  <c r="K115" i="19"/>
  <c r="T18" i="7"/>
  <c r="U18" i="7" s="1"/>
  <c r="T19" i="7"/>
  <c r="U19" i="7" s="1"/>
  <c r="T20" i="7"/>
  <c r="U20" i="7" s="1"/>
  <c r="T21" i="7"/>
  <c r="U21" i="7" s="1"/>
  <c r="T25" i="7"/>
  <c r="U25" i="7" s="1"/>
  <c r="T29" i="7"/>
  <c r="U29" i="7" s="1"/>
  <c r="T31" i="7"/>
  <c r="U31" i="7" s="1"/>
  <c r="T32" i="7"/>
  <c r="U32" i="7" s="1"/>
  <c r="T33" i="7"/>
  <c r="U33" i="7" s="1"/>
  <c r="T34" i="7"/>
  <c r="U34" i="7" s="1"/>
  <c r="T35" i="7"/>
  <c r="U35" i="7" s="1"/>
  <c r="T36" i="7"/>
  <c r="U36" i="7" s="1"/>
  <c r="T37" i="7"/>
  <c r="U37" i="7" s="1"/>
  <c r="T38" i="7"/>
  <c r="U38" i="7" s="1"/>
  <c r="T39" i="7"/>
  <c r="U39" i="7" s="1"/>
  <c r="T40" i="7"/>
  <c r="T53" i="7"/>
  <c r="U53" i="7" s="1"/>
  <c r="T54" i="7"/>
  <c r="U54" i="7" s="1"/>
  <c r="T55" i="7"/>
  <c r="U55" i="7" s="1"/>
  <c r="T56" i="7"/>
  <c r="U56" i="7" s="1"/>
  <c r="A7" i="7"/>
  <c r="A8" i="7"/>
  <c r="A9" i="7"/>
  <c r="A10" i="7"/>
  <c r="A11" i="7"/>
  <c r="A12" i="7"/>
  <c r="A13" i="7"/>
  <c r="A14" i="7"/>
  <c r="A15" i="7"/>
  <c r="A16" i="7"/>
  <c r="A17" i="7"/>
  <c r="A18" i="7"/>
  <c r="A19" i="7"/>
  <c r="A20" i="7"/>
  <c r="A21" i="7"/>
  <c r="A25" i="7"/>
  <c r="A29" i="7"/>
  <c r="A31" i="7"/>
  <c r="A32" i="7"/>
  <c r="A33" i="7"/>
  <c r="A34" i="7"/>
  <c r="A35" i="7"/>
  <c r="A36" i="7"/>
  <c r="A37" i="7"/>
  <c r="A38" i="7"/>
  <c r="A39" i="7"/>
  <c r="A40" i="7"/>
  <c r="A41" i="7"/>
  <c r="A42" i="7"/>
  <c r="A43" i="7"/>
  <c r="A44" i="7"/>
  <c r="A45" i="7"/>
  <c r="A46" i="7"/>
  <c r="A47" i="7"/>
  <c r="A48" i="7"/>
  <c r="A49" i="7"/>
  <c r="A50" i="7"/>
  <c r="A51" i="7"/>
  <c r="A52" i="7"/>
  <c r="A53" i="7"/>
  <c r="A54" i="7"/>
  <c r="A55" i="7"/>
  <c r="A56" i="7"/>
  <c r="B7" i="7"/>
  <c r="B8" i="7"/>
  <c r="B9" i="7"/>
  <c r="B10" i="7"/>
  <c r="B11" i="7"/>
  <c r="B12" i="7"/>
  <c r="B13" i="7"/>
  <c r="B14" i="7"/>
  <c r="B15" i="7"/>
  <c r="B16" i="7"/>
  <c r="B17" i="7"/>
  <c r="B18" i="7"/>
  <c r="B19" i="7"/>
  <c r="B20" i="7"/>
  <c r="B21" i="7"/>
  <c r="B22" i="7"/>
  <c r="B23" i="7"/>
  <c r="B24" i="7"/>
  <c r="B25" i="7"/>
  <c r="B26" i="7"/>
  <c r="B27" i="7"/>
  <c r="B28" i="7"/>
  <c r="B29" i="7"/>
  <c r="B31" i="7"/>
  <c r="B32" i="7"/>
  <c r="B33" i="7"/>
  <c r="B34" i="7"/>
  <c r="B35" i="7"/>
  <c r="B36" i="7"/>
  <c r="B37" i="7"/>
  <c r="B38" i="7"/>
  <c r="B39" i="7"/>
  <c r="B40" i="7"/>
  <c r="B41" i="7"/>
  <c r="B42" i="7"/>
  <c r="B43" i="7"/>
  <c r="B44" i="7"/>
  <c r="B45" i="7"/>
  <c r="B46" i="7"/>
  <c r="B47" i="7"/>
  <c r="B48" i="7"/>
  <c r="B49" i="7"/>
  <c r="B50" i="7"/>
  <c r="B51" i="7"/>
  <c r="B52" i="7"/>
  <c r="B53" i="7"/>
  <c r="B54" i="7"/>
  <c r="B55" i="7"/>
  <c r="B56" i="7"/>
  <c r="C7" i="7"/>
  <c r="C8" i="7"/>
  <c r="C9" i="7"/>
  <c r="C10" i="7"/>
  <c r="C11" i="7"/>
  <c r="C12" i="7"/>
  <c r="C13" i="7"/>
  <c r="C14" i="7"/>
  <c r="C15" i="7"/>
  <c r="C16" i="7"/>
  <c r="C17" i="7"/>
  <c r="C18" i="7"/>
  <c r="C19" i="7"/>
  <c r="C20" i="7"/>
  <c r="C21" i="7"/>
  <c r="C22" i="7"/>
  <c r="C23" i="7"/>
  <c r="C24" i="7"/>
  <c r="C25" i="7"/>
  <c r="C26" i="7"/>
  <c r="C27" i="7"/>
  <c r="C28" i="7"/>
  <c r="C29" i="7"/>
  <c r="C31" i="7"/>
  <c r="C32" i="7"/>
  <c r="C33" i="7"/>
  <c r="C34" i="7"/>
  <c r="C35" i="7"/>
  <c r="C36" i="7"/>
  <c r="C37" i="7"/>
  <c r="C38" i="7"/>
  <c r="C39" i="7"/>
  <c r="C40" i="7"/>
  <c r="C41" i="7"/>
  <c r="C42" i="7"/>
  <c r="C43" i="7"/>
  <c r="C44" i="7"/>
  <c r="C45" i="7"/>
  <c r="C46" i="7"/>
  <c r="C47" i="7"/>
  <c r="C48" i="7"/>
  <c r="C49" i="7"/>
  <c r="C50" i="7"/>
  <c r="C51" i="7"/>
  <c r="C52" i="7"/>
  <c r="C53" i="7"/>
  <c r="C54" i="7"/>
  <c r="C55" i="7"/>
  <c r="C56" i="7"/>
  <c r="L18" i="7"/>
  <c r="L19" i="7"/>
  <c r="L20" i="7"/>
  <c r="L21" i="7"/>
  <c r="L22" i="7"/>
  <c r="L23" i="7"/>
  <c r="L24" i="7"/>
  <c r="L25" i="7"/>
  <c r="L26" i="7"/>
  <c r="L27" i="7"/>
  <c r="L28" i="7"/>
  <c r="L29" i="7"/>
  <c r="L30" i="7"/>
  <c r="L31" i="7"/>
  <c r="L32" i="7"/>
  <c r="L33" i="7"/>
  <c r="L34" i="7"/>
  <c r="L35" i="7"/>
  <c r="L36" i="7"/>
  <c r="L37" i="7"/>
  <c r="L38" i="7"/>
  <c r="L39" i="7"/>
  <c r="L40" i="7"/>
  <c r="L53" i="7"/>
  <c r="L54" i="7"/>
  <c r="L55" i="7"/>
  <c r="L56" i="7"/>
  <c r="I7" i="7"/>
  <c r="I8" i="7"/>
  <c r="I9" i="7"/>
  <c r="I10"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H7" i="7"/>
  <c r="H8" i="7"/>
  <c r="H9" i="7"/>
  <c r="H10" i="7"/>
  <c r="H11" i="7"/>
  <c r="H12" i="7"/>
  <c r="H13" i="7"/>
  <c r="H14" i="7"/>
  <c r="H15" i="7"/>
  <c r="H16" i="7"/>
  <c r="H17" i="7"/>
  <c r="H18" i="7"/>
  <c r="H19" i="7"/>
  <c r="H20" i="7"/>
  <c r="H21" i="7"/>
  <c r="H22" i="7"/>
  <c r="H23" i="7"/>
  <c r="H24" i="7"/>
  <c r="H25" i="7"/>
  <c r="H26" i="7"/>
  <c r="H27" i="7"/>
  <c r="H28" i="7"/>
  <c r="H29" i="7"/>
  <c r="H30" i="7"/>
  <c r="H31" i="7"/>
  <c r="H32" i="7"/>
  <c r="H33" i="7"/>
  <c r="H34" i="7"/>
  <c r="H35" i="7"/>
  <c r="H36" i="7"/>
  <c r="H37" i="7"/>
  <c r="H38" i="7"/>
  <c r="H39" i="7"/>
  <c r="H40" i="7"/>
  <c r="H41" i="7"/>
  <c r="H42" i="7"/>
  <c r="H43" i="7"/>
  <c r="H44" i="7"/>
  <c r="H45" i="7"/>
  <c r="H46" i="7"/>
  <c r="H47" i="7"/>
  <c r="H48" i="7"/>
  <c r="H49" i="7"/>
  <c r="H50" i="7"/>
  <c r="H51" i="7"/>
  <c r="H52" i="7"/>
  <c r="H53" i="7"/>
  <c r="H54" i="7"/>
  <c r="H55" i="7"/>
  <c r="H56" i="7"/>
  <c r="D35" i="7"/>
  <c r="D36" i="7"/>
  <c r="D37" i="7"/>
  <c r="D38" i="7"/>
  <c r="D39" i="7"/>
  <c r="D40" i="7"/>
  <c r="D41" i="7"/>
  <c r="D42" i="7"/>
  <c r="D43" i="7"/>
  <c r="E43" i="7" s="1"/>
  <c r="D44" i="7"/>
  <c r="D45" i="7"/>
  <c r="D46" i="7"/>
  <c r="D47" i="7"/>
  <c r="D48" i="7"/>
  <c r="D49" i="7"/>
  <c r="D50" i="7"/>
  <c r="D51" i="7"/>
  <c r="D52" i="7"/>
  <c r="D53" i="7"/>
  <c r="D54" i="7"/>
  <c r="D55" i="7"/>
  <c r="D56" i="7"/>
  <c r="K88" i="2"/>
  <c r="L41" i="7" s="1"/>
  <c r="K89" i="2"/>
  <c r="L42" i="7" s="1"/>
  <c r="K90" i="2"/>
  <c r="L43" i="7" s="1"/>
  <c r="K91" i="2"/>
  <c r="L44" i="7" s="1"/>
  <c r="K92" i="2"/>
  <c r="L45" i="7" s="1"/>
  <c r="K93" i="2"/>
  <c r="L46" i="7" s="1"/>
  <c r="K94" i="2"/>
  <c r="L47" i="7" s="1"/>
  <c r="K95" i="2"/>
  <c r="L48" i="7" s="1"/>
  <c r="K96" i="2"/>
  <c r="L49" i="7" s="1"/>
  <c r="K97" i="2"/>
  <c r="L50" i="7" s="1"/>
  <c r="K98" i="2"/>
  <c r="L51" i="7" s="1"/>
  <c r="K99" i="2"/>
  <c r="L52" i="7" s="1"/>
  <c r="K56" i="2"/>
  <c r="L10" i="7" s="1"/>
  <c r="H88" i="2"/>
  <c r="D106" i="2" s="1"/>
  <c r="H89" i="2"/>
  <c r="T42" i="7" s="1"/>
  <c r="U42" i="7" s="1"/>
  <c r="M89" i="2" s="1"/>
  <c r="H90" i="2"/>
  <c r="H91" i="2"/>
  <c r="T44" i="7" l="1"/>
  <c r="U44" i="7" s="1"/>
  <c r="M91" i="2" s="1"/>
  <c r="E49" i="7"/>
  <c r="E37" i="7"/>
  <c r="T43" i="7"/>
  <c r="U43" i="7" s="1"/>
  <c r="M90" i="2" s="1"/>
  <c r="E55" i="7"/>
  <c r="E54" i="7"/>
  <c r="E42" i="7"/>
  <c r="E48" i="7"/>
  <c r="E36" i="7"/>
  <c r="T41" i="7"/>
  <c r="E51" i="7"/>
  <c r="E39" i="7"/>
  <c r="E50" i="7"/>
  <c r="E38" i="7"/>
  <c r="E47" i="7"/>
  <c r="E35" i="7"/>
  <c r="E52" i="7"/>
  <c r="E40" i="7"/>
  <c r="E46" i="7"/>
  <c r="E45" i="7"/>
  <c r="E56" i="7"/>
  <c r="E44" i="7"/>
  <c r="E53" i="7"/>
  <c r="E41" i="7"/>
  <c r="D32" i="2" l="1"/>
  <c r="H104" i="19"/>
  <c r="H105" i="19"/>
  <c r="H106" i="19"/>
  <c r="H107" i="19"/>
  <c r="H108" i="19"/>
  <c r="H109" i="19"/>
  <c r="H110" i="19"/>
  <c r="H111" i="19"/>
  <c r="H112" i="19"/>
  <c r="H113" i="19"/>
  <c r="H114" i="19"/>
  <c r="H115" i="19"/>
  <c r="D119" i="19" l="1"/>
  <c r="C131" i="19"/>
  <c r="D131" i="19" s="1"/>
  <c r="C130" i="19"/>
  <c r="D130" i="19" s="1"/>
  <c r="C129" i="19"/>
  <c r="D129" i="19" s="1"/>
  <c r="C128" i="19"/>
  <c r="D128" i="19" s="1"/>
  <c r="C127" i="19"/>
  <c r="D127" i="19" s="1"/>
  <c r="C126" i="19"/>
  <c r="D126" i="19" s="1"/>
  <c r="C92" i="19"/>
  <c r="G90" i="19"/>
  <c r="C89" i="19"/>
  <c r="D89" i="19" s="1"/>
  <c r="C88" i="19"/>
  <c r="D88" i="19" s="1"/>
  <c r="C87" i="19"/>
  <c r="C86" i="19"/>
  <c r="C85" i="19"/>
  <c r="C84" i="19"/>
  <c r="K70" i="19"/>
  <c r="H70" i="19"/>
  <c r="K69" i="19"/>
  <c r="H69" i="19"/>
  <c r="K68" i="19"/>
  <c r="H68" i="19"/>
  <c r="K67" i="19"/>
  <c r="H67" i="19"/>
  <c r="K66" i="19"/>
  <c r="H66" i="19"/>
  <c r="K65" i="19"/>
  <c r="H65" i="19"/>
  <c r="K64" i="19"/>
  <c r="H64" i="19"/>
  <c r="K63" i="19"/>
  <c r="H63" i="19"/>
  <c r="K62" i="19"/>
  <c r="H62" i="19"/>
  <c r="K61" i="19"/>
  <c r="H61" i="19"/>
  <c r="K60" i="19"/>
  <c r="H60" i="19"/>
  <c r="E51" i="19"/>
  <c r="C51" i="19"/>
  <c r="E50" i="19"/>
  <c r="C50" i="19"/>
  <c r="E49" i="19"/>
  <c r="C49" i="19"/>
  <c r="E48" i="19"/>
  <c r="C48" i="19"/>
  <c r="E47" i="19"/>
  <c r="C47" i="19"/>
  <c r="R46" i="19" a="1"/>
  <c r="R46" i="19" s="1"/>
  <c r="Q46" i="19" a="1"/>
  <c r="Q46" i="19" s="1"/>
  <c r="E46" i="19"/>
  <c r="C46" i="19"/>
  <c r="D29" i="19"/>
  <c r="C23" i="19"/>
  <c r="C21" i="19"/>
  <c r="C20" i="19"/>
  <c r="C19" i="19"/>
  <c r="C18" i="19"/>
  <c r="B17" i="19"/>
  <c r="B16" i="19"/>
  <c r="B6" i="19"/>
  <c r="K58" i="9"/>
  <c r="K59" i="9"/>
  <c r="K60" i="9"/>
  <c r="K61" i="9"/>
  <c r="K62" i="9"/>
  <c r="K63" i="9"/>
  <c r="K64" i="9"/>
  <c r="K65" i="9"/>
  <c r="K66" i="9"/>
  <c r="K67" i="9"/>
  <c r="K57" i="9"/>
  <c r="K52" i="2"/>
  <c r="K53" i="2"/>
  <c r="L7" i="7" s="1"/>
  <c r="K54" i="2"/>
  <c r="L8" i="7" s="1"/>
  <c r="H52" i="2"/>
  <c r="D72" i="2" s="1"/>
  <c r="H53" i="2"/>
  <c r="H54" i="2"/>
  <c r="H55" i="2"/>
  <c r="H98" i="18"/>
  <c r="H97" i="18"/>
  <c r="H96" i="18"/>
  <c r="H95" i="18"/>
  <c r="H94" i="18"/>
  <c r="H93" i="18"/>
  <c r="H92" i="18"/>
  <c r="H91" i="18"/>
  <c r="H90" i="18"/>
  <c r="H89" i="18"/>
  <c r="H88" i="18"/>
  <c r="H87" i="18"/>
  <c r="C76" i="18"/>
  <c r="K62" i="18"/>
  <c r="H62" i="18"/>
  <c r="K61" i="18"/>
  <c r="H61" i="18"/>
  <c r="K60" i="18"/>
  <c r="H60" i="18"/>
  <c r="K59" i="18"/>
  <c r="H59" i="18"/>
  <c r="K58" i="18"/>
  <c r="H58" i="18"/>
  <c r="K57" i="18"/>
  <c r="H57" i="18"/>
  <c r="K56" i="18"/>
  <c r="H56" i="18"/>
  <c r="K55" i="18"/>
  <c r="H55" i="18"/>
  <c r="K54" i="18"/>
  <c r="H54" i="18"/>
  <c r="K53" i="18"/>
  <c r="H53" i="18"/>
  <c r="K52" i="18"/>
  <c r="H52" i="18"/>
  <c r="K51" i="18"/>
  <c r="H51" i="18"/>
  <c r="D29" i="18"/>
  <c r="D30" i="18" s="1"/>
  <c r="K55" i="2"/>
  <c r="L9" i="7" s="1"/>
  <c r="K57" i="2"/>
  <c r="L11" i="7" s="1"/>
  <c r="K58" i="2"/>
  <c r="L12" i="7" s="1"/>
  <c r="K59" i="2"/>
  <c r="L13" i="7" s="1"/>
  <c r="K60" i="2"/>
  <c r="L14" i="7" s="1"/>
  <c r="K61" i="2"/>
  <c r="L15" i="7" s="1"/>
  <c r="K62" i="2"/>
  <c r="L16" i="7" s="1"/>
  <c r="K63" i="2"/>
  <c r="L17" i="7" s="1"/>
  <c r="H60" i="9"/>
  <c r="H57" i="9"/>
  <c r="H58" i="9"/>
  <c r="T6" i="13" l="1"/>
  <c r="T7" i="7"/>
  <c r="U7" i="7" s="1"/>
  <c r="F51" i="19" a="1"/>
  <c r="F51" i="19" s="1"/>
  <c r="E131" i="19" s="1"/>
  <c r="F131" i="19" s="1"/>
  <c r="D84" i="19"/>
  <c r="D85" i="19"/>
  <c r="D86" i="19"/>
  <c r="D87" i="19"/>
  <c r="T8" i="7"/>
  <c r="U8" i="7" s="1"/>
  <c r="T9" i="7"/>
  <c r="U9" i="7" s="1"/>
  <c r="M55" i="2" s="1"/>
  <c r="D92" i="19"/>
  <c r="F49" i="19" a="1"/>
  <c r="F49" i="19" s="1"/>
  <c r="E129" i="19" s="1"/>
  <c r="F129" i="19" s="1"/>
  <c r="D121" i="19"/>
  <c r="F50" i="19" a="1"/>
  <c r="F50" i="19" s="1"/>
  <c r="E88" i="19" s="1"/>
  <c r="F88" i="19" s="1"/>
  <c r="G88" i="19" s="1"/>
  <c r="D79" i="19"/>
  <c r="F121" i="19" s="1"/>
  <c r="F47" i="19" a="1"/>
  <c r="F47" i="19" s="1"/>
  <c r="E85" i="19" s="1"/>
  <c r="D30" i="19"/>
  <c r="D77" i="19"/>
  <c r="F46" i="19" a="1"/>
  <c r="F46" i="19" s="1"/>
  <c r="F48" i="19" a="1"/>
  <c r="F48" i="19" s="1"/>
  <c r="D105" i="18"/>
  <c r="D74" i="18"/>
  <c r="F107" i="18" s="1"/>
  <c r="D72" i="18"/>
  <c r="F105" i="18" s="1"/>
  <c r="D107" i="18"/>
  <c r="H107" i="18" s="1"/>
  <c r="I107" i="18" s="1"/>
  <c r="D68" i="18"/>
  <c r="H56" i="2"/>
  <c r="T10" i="7" s="1"/>
  <c r="U10" i="7" s="1"/>
  <c r="H57" i="2"/>
  <c r="T11" i="7" s="1"/>
  <c r="U11" i="7" s="1"/>
  <c r="H58" i="2"/>
  <c r="T12" i="7" s="1"/>
  <c r="U12" i="7" s="1"/>
  <c r="H59" i="2"/>
  <c r="T13" i="7" s="1"/>
  <c r="U13" i="7" s="1"/>
  <c r="H60" i="2"/>
  <c r="T14" i="7" s="1"/>
  <c r="U14" i="7" s="1"/>
  <c r="H61" i="2"/>
  <c r="T15" i="7" s="1"/>
  <c r="U15" i="7" s="1"/>
  <c r="H62" i="2"/>
  <c r="T16" i="7" s="1"/>
  <c r="U16" i="7" s="1"/>
  <c r="H63" i="2"/>
  <c r="T17" i="7" s="1"/>
  <c r="U17" i="7" s="1"/>
  <c r="B94" i="19" l="1"/>
  <c r="N64" i="19"/>
  <c r="E89" i="19"/>
  <c r="F89" i="19" s="1"/>
  <c r="G89" i="19" s="1"/>
  <c r="F85" i="19"/>
  <c r="G85" i="19" s="1"/>
  <c r="H121" i="19"/>
  <c r="I121" i="19" s="1"/>
  <c r="E92" i="19"/>
  <c r="E130" i="19"/>
  <c r="F130" i="19" s="1"/>
  <c r="E87" i="19"/>
  <c r="F87" i="19" s="1"/>
  <c r="G87" i="19" s="1"/>
  <c r="E127" i="19"/>
  <c r="F127" i="19" s="1"/>
  <c r="F119" i="19"/>
  <c r="E126" i="19"/>
  <c r="F126" i="19" s="1"/>
  <c r="E84" i="19"/>
  <c r="F84" i="19" s="1"/>
  <c r="G84" i="19" s="1"/>
  <c r="D75" i="19"/>
  <c r="E128" i="19"/>
  <c r="F128" i="19" s="1"/>
  <c r="E86" i="19"/>
  <c r="F86" i="19" s="1"/>
  <c r="G86" i="19" s="1"/>
  <c r="D6" i="13"/>
  <c r="D7" i="13"/>
  <c r="D8" i="13"/>
  <c r="D9" i="13"/>
  <c r="D10" i="13"/>
  <c r="D11" i="13"/>
  <c r="D12" i="13"/>
  <c r="D13" i="13"/>
  <c r="D14" i="13"/>
  <c r="D15" i="13"/>
  <c r="D16" i="13"/>
  <c r="D17" i="13"/>
  <c r="D18" i="13"/>
  <c r="D19" i="13"/>
  <c r="D20" i="13"/>
  <c r="D21" i="13"/>
  <c r="D22" i="13"/>
  <c r="D23" i="13"/>
  <c r="D24" i="13"/>
  <c r="D25" i="13"/>
  <c r="D26" i="13"/>
  <c r="D27" i="13"/>
  <c r="D28" i="13"/>
  <c r="D29" i="13"/>
  <c r="D30" i="13"/>
  <c r="D31" i="13"/>
  <c r="D32" i="13"/>
  <c r="D33" i="13"/>
  <c r="D34" i="13"/>
  <c r="D35" i="13"/>
  <c r="D36" i="13"/>
  <c r="D37" i="13"/>
  <c r="D38" i="13"/>
  <c r="D39" i="13"/>
  <c r="D40" i="13"/>
  <c r="D41" i="13"/>
  <c r="D42" i="13"/>
  <c r="D43" i="13"/>
  <c r="D44" i="13"/>
  <c r="D45" i="13"/>
  <c r="D46" i="13"/>
  <c r="D47" i="13"/>
  <c r="D48" i="13"/>
  <c r="D49" i="13"/>
  <c r="D7" i="7"/>
  <c r="E7" i="7" s="1"/>
  <c r="D8" i="7"/>
  <c r="E8" i="7" s="1"/>
  <c r="D9" i="7"/>
  <c r="E9" i="7" s="1"/>
  <c r="D10" i="7"/>
  <c r="E10" i="7" s="1"/>
  <c r="D11" i="7"/>
  <c r="E11" i="7" s="1"/>
  <c r="D12" i="7"/>
  <c r="E12" i="7" s="1"/>
  <c r="D13" i="7"/>
  <c r="E13" i="7" s="1"/>
  <c r="D14" i="7"/>
  <c r="E14" i="7" s="1"/>
  <c r="D15" i="7"/>
  <c r="E15" i="7" s="1"/>
  <c r="D16" i="7"/>
  <c r="E16" i="7" s="1"/>
  <c r="D17" i="7"/>
  <c r="E17" i="7" s="1"/>
  <c r="D18" i="7"/>
  <c r="E18" i="7" s="1"/>
  <c r="D19" i="7"/>
  <c r="E19" i="7" s="1"/>
  <c r="D20" i="7"/>
  <c r="E20" i="7" s="1"/>
  <c r="D21" i="7"/>
  <c r="E21" i="7" s="1"/>
  <c r="D22" i="7"/>
  <c r="D23" i="7"/>
  <c r="D24" i="7"/>
  <c r="D25" i="7"/>
  <c r="E25" i="7" s="1"/>
  <c r="D26" i="7"/>
  <c r="D27" i="7"/>
  <c r="D28" i="7"/>
  <c r="D29" i="7"/>
  <c r="E29" i="7" s="1"/>
  <c r="D30" i="7"/>
  <c r="D31" i="7"/>
  <c r="E31" i="7" s="1"/>
  <c r="D32" i="7"/>
  <c r="E32" i="7" s="1"/>
  <c r="D33" i="7"/>
  <c r="E33" i="7" s="1"/>
  <c r="D34" i="7"/>
  <c r="E34" i="7" s="1"/>
  <c r="F120" i="19" l="1"/>
  <c r="H120" i="19" s="1"/>
  <c r="D120" i="19"/>
  <c r="D78" i="19"/>
  <c r="H119" i="19"/>
  <c r="I119" i="19" s="1"/>
  <c r="F78" i="19"/>
  <c r="T29" i="13"/>
  <c r="U29" i="13" s="1"/>
  <c r="G87" i="9"/>
  <c r="T36" i="13" s="1"/>
  <c r="U36" i="13" s="1"/>
  <c r="D6" i="7"/>
  <c r="T17" i="13"/>
  <c r="U17" i="13" s="1"/>
  <c r="T18" i="13"/>
  <c r="U18" i="13" s="1"/>
  <c r="T19" i="13"/>
  <c r="U19" i="13" s="1"/>
  <c r="T20" i="13"/>
  <c r="U20" i="13" s="1"/>
  <c r="T22" i="13"/>
  <c r="U22" i="13" s="1"/>
  <c r="T26" i="13"/>
  <c r="U26" i="13" s="1"/>
  <c r="T27" i="13"/>
  <c r="U27" i="13" s="1"/>
  <c r="T28" i="13"/>
  <c r="U28" i="13" s="1"/>
  <c r="T37" i="13"/>
  <c r="U37" i="13" s="1"/>
  <c r="T39" i="13"/>
  <c r="U39" i="13" s="1"/>
  <c r="T40" i="13"/>
  <c r="U40" i="13" s="1"/>
  <c r="T41" i="13"/>
  <c r="U41" i="13" s="1"/>
  <c r="T42" i="13"/>
  <c r="U42" i="13" s="1"/>
  <c r="T43" i="13"/>
  <c r="U43" i="13" s="1"/>
  <c r="T44" i="13"/>
  <c r="U44" i="13" s="1"/>
  <c r="T45" i="13"/>
  <c r="U45" i="13" s="1"/>
  <c r="T46" i="13"/>
  <c r="U46" i="13" s="1"/>
  <c r="T47" i="13"/>
  <c r="U47" i="13" s="1"/>
  <c r="T48" i="13"/>
  <c r="C24" i="6"/>
  <c r="B24" i="6" s="1"/>
  <c r="C23" i="6"/>
  <c r="B23" i="6" s="1"/>
  <c r="B25" i="6"/>
  <c r="I6" i="8"/>
  <c r="I7" i="8"/>
  <c r="I9" i="8"/>
  <c r="I10" i="8"/>
  <c r="I11" i="8"/>
  <c r="I12" i="8"/>
  <c r="I13" i="8"/>
  <c r="I14" i="8"/>
  <c r="I15" i="8"/>
  <c r="I16" i="8"/>
  <c r="I17" i="8"/>
  <c r="I6" i="7"/>
  <c r="J16" i="15"/>
  <c r="A13" i="8"/>
  <c r="A14" i="8"/>
  <c r="A7" i="8"/>
  <c r="J23" i="3" a="1"/>
  <c r="J23" i="3" s="1"/>
  <c r="H92" i="2"/>
  <c r="T45" i="7" s="1"/>
  <c r="U45" i="7" s="1"/>
  <c r="M92" i="2" s="1"/>
  <c r="H93" i="2"/>
  <c r="T46" i="7" s="1"/>
  <c r="U46" i="7" s="1"/>
  <c r="M93" i="2" s="1"/>
  <c r="H94" i="2"/>
  <c r="T47" i="7" s="1"/>
  <c r="U47" i="7" s="1"/>
  <c r="M94" i="2" s="1"/>
  <c r="H95" i="2"/>
  <c r="T48" i="7" s="1"/>
  <c r="U48" i="7" s="1"/>
  <c r="M95" i="2" s="1"/>
  <c r="H96" i="2"/>
  <c r="T49" i="7" s="1"/>
  <c r="U49" i="7" s="1"/>
  <c r="M96" i="2" s="1"/>
  <c r="H97" i="2"/>
  <c r="T50" i="7" s="1"/>
  <c r="U50" i="7" s="1"/>
  <c r="M97" i="2" s="1"/>
  <c r="H98" i="2"/>
  <c r="T51" i="7" s="1"/>
  <c r="U51" i="7" s="1"/>
  <c r="M98" i="2" s="1"/>
  <c r="H99" i="2"/>
  <c r="T52" i="7" s="1"/>
  <c r="U52" i="7" s="1"/>
  <c r="M99" i="2" s="1"/>
  <c r="C21" i="9"/>
  <c r="C18" i="9"/>
  <c r="C17" i="9"/>
  <c r="C16" i="9"/>
  <c r="B15" i="9"/>
  <c r="B14" i="9"/>
  <c r="C127" i="9"/>
  <c r="C126" i="9"/>
  <c r="C125" i="9"/>
  <c r="C124" i="9"/>
  <c r="C123" i="9"/>
  <c r="C122" i="9"/>
  <c r="I18" i="8"/>
  <c r="I19" i="8"/>
  <c r="I20" i="8"/>
  <c r="I21" i="8"/>
  <c r="I22" i="8"/>
  <c r="I23" i="8"/>
  <c r="I24" i="8"/>
  <c r="I25" i="8"/>
  <c r="I26" i="8"/>
  <c r="I30" i="8"/>
  <c r="I31" i="8"/>
  <c r="I32" i="8"/>
  <c r="I33" i="8"/>
  <c r="I34" i="8"/>
  <c r="I35" i="8"/>
  <c r="I36" i="8"/>
  <c r="I37" i="8"/>
  <c r="I38" i="8"/>
  <c r="I39" i="8"/>
  <c r="I40" i="8"/>
  <c r="I41" i="8"/>
  <c r="I42" i="8"/>
  <c r="I43" i="8"/>
  <c r="I44" i="8"/>
  <c r="I45" i="8"/>
  <c r="I46" i="8"/>
  <c r="I47" i="8"/>
  <c r="I48" i="8"/>
  <c r="I49" i="8"/>
  <c r="I50" i="8"/>
  <c r="I51" i="8"/>
  <c r="I52" i="8"/>
  <c r="I53" i="8"/>
  <c r="I54" i="8"/>
  <c r="I55" i="8"/>
  <c r="I56" i="8"/>
  <c r="E46" i="3"/>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T7" i="13"/>
  <c r="H59" i="9"/>
  <c r="T9" i="13"/>
  <c r="H61" i="9"/>
  <c r="T10" i="13" s="1"/>
  <c r="H62" i="9"/>
  <c r="H63" i="9"/>
  <c r="D74" i="9" s="1"/>
  <c r="H64" i="9"/>
  <c r="H65" i="9"/>
  <c r="H66" i="9"/>
  <c r="H67" i="9"/>
  <c r="J13" i="15"/>
  <c r="J14" i="15"/>
  <c r="J15" i="15"/>
  <c r="J17" i="15"/>
  <c r="A7" i="15"/>
  <c r="C7" i="15"/>
  <c r="F7" i="15"/>
  <c r="G7" i="15"/>
  <c r="A8" i="15"/>
  <c r="C8" i="15"/>
  <c r="F8" i="15"/>
  <c r="G8" i="15"/>
  <c r="A9" i="15"/>
  <c r="C9" i="15"/>
  <c r="F9" i="15"/>
  <c r="G9" i="15"/>
  <c r="A10" i="15"/>
  <c r="C10" i="15"/>
  <c r="F10" i="15"/>
  <c r="G10" i="15"/>
  <c r="A11" i="15"/>
  <c r="C11" i="15"/>
  <c r="F11" i="15"/>
  <c r="G11" i="15"/>
  <c r="A12" i="15"/>
  <c r="C12" i="15"/>
  <c r="F12" i="15"/>
  <c r="G12" i="15"/>
  <c r="A13" i="15"/>
  <c r="C13" i="15"/>
  <c r="F13" i="15"/>
  <c r="G13" i="15"/>
  <c r="A14" i="15"/>
  <c r="C14" i="15"/>
  <c r="F14" i="15"/>
  <c r="G14" i="15"/>
  <c r="A15" i="15"/>
  <c r="C15" i="15"/>
  <c r="F15" i="15"/>
  <c r="G15" i="15"/>
  <c r="A16" i="15"/>
  <c r="C16" i="15"/>
  <c r="F16" i="15"/>
  <c r="G16" i="15"/>
  <c r="A17" i="15"/>
  <c r="C17" i="15"/>
  <c r="F17" i="15"/>
  <c r="G17" i="15"/>
  <c r="A18" i="15"/>
  <c r="C18" i="15"/>
  <c r="F18" i="15"/>
  <c r="G18" i="15"/>
  <c r="J18" i="15"/>
  <c r="A19" i="15"/>
  <c r="C19" i="15"/>
  <c r="F19" i="15"/>
  <c r="G19" i="15"/>
  <c r="J19" i="15"/>
  <c r="A20" i="15"/>
  <c r="C20" i="15"/>
  <c r="F20" i="15"/>
  <c r="G20" i="15"/>
  <c r="J20" i="15"/>
  <c r="C21" i="15"/>
  <c r="F21" i="15"/>
  <c r="G21" i="15"/>
  <c r="J21" i="15"/>
  <c r="A22" i="15"/>
  <c r="C22" i="15"/>
  <c r="F22" i="15"/>
  <c r="G22" i="15"/>
  <c r="J22" i="15"/>
  <c r="C23" i="15"/>
  <c r="F23" i="15"/>
  <c r="G23" i="15"/>
  <c r="J23" i="15"/>
  <c r="C24" i="15"/>
  <c r="F24" i="15"/>
  <c r="G24" i="15"/>
  <c r="J24" i="15"/>
  <c r="A25" i="15"/>
  <c r="C25" i="15"/>
  <c r="F25" i="15"/>
  <c r="G25" i="15"/>
  <c r="J25" i="15"/>
  <c r="A26" i="15"/>
  <c r="C26" i="15"/>
  <c r="F26" i="15"/>
  <c r="G26" i="15"/>
  <c r="J26" i="15"/>
  <c r="A27" i="15"/>
  <c r="C27" i="15"/>
  <c r="F27" i="15"/>
  <c r="G27" i="15"/>
  <c r="J27" i="15"/>
  <c r="A28" i="15"/>
  <c r="C28" i="15"/>
  <c r="F28" i="15"/>
  <c r="G28" i="15"/>
  <c r="J28" i="15"/>
  <c r="F29" i="15"/>
  <c r="G29" i="15"/>
  <c r="J29" i="15"/>
  <c r="F30" i="15"/>
  <c r="G30" i="15"/>
  <c r="J30" i="15"/>
  <c r="F31" i="15"/>
  <c r="G31" i="15"/>
  <c r="J31" i="15"/>
  <c r="F32" i="15"/>
  <c r="G32" i="15"/>
  <c r="J32" i="15"/>
  <c r="F33" i="15"/>
  <c r="G33" i="15"/>
  <c r="J33" i="15"/>
  <c r="F34" i="15"/>
  <c r="G34" i="15"/>
  <c r="J34" i="15"/>
  <c r="A35" i="15"/>
  <c r="C35" i="15"/>
  <c r="F35" i="15"/>
  <c r="G35" i="15"/>
  <c r="J35" i="15"/>
  <c r="A36" i="15"/>
  <c r="C36" i="15"/>
  <c r="F36" i="15"/>
  <c r="G36" i="15"/>
  <c r="J36" i="15"/>
  <c r="A37" i="15"/>
  <c r="C37" i="15"/>
  <c r="F37" i="15"/>
  <c r="G37" i="15"/>
  <c r="J37" i="15"/>
  <c r="A38" i="15"/>
  <c r="C38" i="15"/>
  <c r="F38" i="15"/>
  <c r="G38" i="15"/>
  <c r="J38" i="15"/>
  <c r="A39" i="15"/>
  <c r="C39" i="15"/>
  <c r="F39" i="15"/>
  <c r="G39" i="15"/>
  <c r="J39" i="15"/>
  <c r="A40" i="15"/>
  <c r="C40" i="15"/>
  <c r="F40" i="15"/>
  <c r="G40" i="15"/>
  <c r="J40" i="15"/>
  <c r="A41" i="15"/>
  <c r="C41" i="15"/>
  <c r="F41" i="15"/>
  <c r="G41" i="15"/>
  <c r="J41" i="15"/>
  <c r="A42" i="15"/>
  <c r="C42" i="15"/>
  <c r="F42" i="15"/>
  <c r="G42" i="15"/>
  <c r="J42" i="15"/>
  <c r="A43" i="15"/>
  <c r="C43" i="15"/>
  <c r="F43" i="15"/>
  <c r="G43" i="15"/>
  <c r="J43" i="15"/>
  <c r="A44" i="15"/>
  <c r="C44" i="15"/>
  <c r="F44" i="15"/>
  <c r="G44" i="15"/>
  <c r="J44" i="15"/>
  <c r="A45" i="15"/>
  <c r="C45" i="15"/>
  <c r="F45" i="15"/>
  <c r="G45" i="15"/>
  <c r="J45" i="15"/>
  <c r="A46" i="15"/>
  <c r="C46" i="15"/>
  <c r="F46" i="15"/>
  <c r="G46" i="15"/>
  <c r="J46" i="15"/>
  <c r="A47" i="15"/>
  <c r="C47" i="15"/>
  <c r="F47" i="15"/>
  <c r="G47" i="15"/>
  <c r="J47" i="15"/>
  <c r="A48" i="15"/>
  <c r="C48" i="15"/>
  <c r="F48" i="15"/>
  <c r="G48" i="15"/>
  <c r="J48" i="15"/>
  <c r="A49" i="15"/>
  <c r="C49" i="15"/>
  <c r="F49" i="15"/>
  <c r="G49" i="15"/>
  <c r="J49" i="15"/>
  <c r="A50" i="15"/>
  <c r="C50" i="15"/>
  <c r="F50" i="15"/>
  <c r="G50" i="15"/>
  <c r="J50" i="15"/>
  <c r="A51" i="15"/>
  <c r="C51" i="15"/>
  <c r="F51" i="15"/>
  <c r="G51" i="15"/>
  <c r="J51" i="15"/>
  <c r="A52" i="15"/>
  <c r="C52" i="15"/>
  <c r="F52" i="15"/>
  <c r="G52" i="15"/>
  <c r="J52" i="15"/>
  <c r="A53" i="15"/>
  <c r="C53" i="15"/>
  <c r="F53" i="15"/>
  <c r="G53" i="15"/>
  <c r="J53" i="15"/>
  <c r="A54" i="15"/>
  <c r="C54" i="15"/>
  <c r="F54" i="15"/>
  <c r="G54" i="15"/>
  <c r="J54" i="15"/>
  <c r="A55" i="15"/>
  <c r="C55" i="15"/>
  <c r="F55" i="15"/>
  <c r="G55" i="15"/>
  <c r="J55" i="15"/>
  <c r="A56" i="15"/>
  <c r="C56" i="15"/>
  <c r="F56" i="15"/>
  <c r="G56" i="15"/>
  <c r="J56" i="15"/>
  <c r="A57" i="15"/>
  <c r="C57" i="15"/>
  <c r="F57" i="15"/>
  <c r="G57" i="15"/>
  <c r="J57" i="15"/>
  <c r="A7" i="13"/>
  <c r="E7" i="13" s="1"/>
  <c r="B7" i="13"/>
  <c r="C7" i="13"/>
  <c r="H7" i="13"/>
  <c r="I7" i="13"/>
  <c r="A8" i="13"/>
  <c r="E8" i="13" s="1"/>
  <c r="B8" i="13"/>
  <c r="C8" i="13"/>
  <c r="H8" i="13"/>
  <c r="I8" i="13"/>
  <c r="A9" i="13"/>
  <c r="E9" i="13" s="1"/>
  <c r="B9" i="13"/>
  <c r="C9" i="13"/>
  <c r="H9" i="13"/>
  <c r="I9" i="13"/>
  <c r="A10" i="13"/>
  <c r="E10" i="13" s="1"/>
  <c r="B10" i="13"/>
  <c r="C10" i="13"/>
  <c r="H10" i="13"/>
  <c r="I10" i="13"/>
  <c r="A11" i="13"/>
  <c r="E11" i="13" s="1"/>
  <c r="B11" i="13"/>
  <c r="C11" i="13"/>
  <c r="H11" i="13"/>
  <c r="I11" i="13"/>
  <c r="A12" i="13"/>
  <c r="E12" i="13" s="1"/>
  <c r="B12" i="13"/>
  <c r="C12" i="13"/>
  <c r="H12" i="13"/>
  <c r="I12" i="13"/>
  <c r="A13" i="13"/>
  <c r="E13" i="13" s="1"/>
  <c r="B13" i="13"/>
  <c r="C13" i="13"/>
  <c r="H13" i="13"/>
  <c r="I13" i="13"/>
  <c r="A14" i="13"/>
  <c r="E14" i="13" s="1"/>
  <c r="B14" i="13"/>
  <c r="C14" i="13"/>
  <c r="H14" i="13"/>
  <c r="I14" i="13"/>
  <c r="A15" i="13"/>
  <c r="E15" i="13" s="1"/>
  <c r="B15" i="13"/>
  <c r="C15" i="13"/>
  <c r="H15" i="13"/>
  <c r="I15" i="13"/>
  <c r="A16" i="13"/>
  <c r="E16" i="13" s="1"/>
  <c r="B16" i="13"/>
  <c r="C16" i="13"/>
  <c r="H16" i="13"/>
  <c r="I16" i="13"/>
  <c r="A17" i="13"/>
  <c r="E17" i="13" s="1"/>
  <c r="B17" i="13"/>
  <c r="C17" i="13"/>
  <c r="H17" i="13"/>
  <c r="I17" i="13"/>
  <c r="L17" i="13"/>
  <c r="A18" i="13"/>
  <c r="E18" i="13" s="1"/>
  <c r="B18" i="13"/>
  <c r="C18" i="13"/>
  <c r="H18" i="13"/>
  <c r="I18" i="13"/>
  <c r="L18" i="13"/>
  <c r="A19" i="13"/>
  <c r="E19" i="13" s="1"/>
  <c r="B19" i="13"/>
  <c r="C19" i="13"/>
  <c r="H19" i="13"/>
  <c r="I19" i="13"/>
  <c r="L19" i="13"/>
  <c r="A20" i="13"/>
  <c r="E20" i="13" s="1"/>
  <c r="B20" i="13"/>
  <c r="C20" i="13"/>
  <c r="H20" i="13"/>
  <c r="I20" i="13"/>
  <c r="L20" i="13"/>
  <c r="B21" i="13"/>
  <c r="C21" i="13"/>
  <c r="H21" i="13"/>
  <c r="I21" i="13"/>
  <c r="L21" i="13"/>
  <c r="A22" i="13"/>
  <c r="E22" i="13" s="1"/>
  <c r="B22" i="13"/>
  <c r="C22" i="13"/>
  <c r="H22" i="13"/>
  <c r="I22" i="13"/>
  <c r="L22" i="13"/>
  <c r="B23" i="13"/>
  <c r="C23" i="13"/>
  <c r="H23" i="13"/>
  <c r="I23" i="13"/>
  <c r="L23" i="13"/>
  <c r="B24" i="13"/>
  <c r="C24" i="13"/>
  <c r="H24" i="13"/>
  <c r="I24" i="13"/>
  <c r="L24" i="13"/>
  <c r="A25" i="13"/>
  <c r="E25" i="13" s="1"/>
  <c r="B25" i="13"/>
  <c r="C25" i="13"/>
  <c r="H25" i="13"/>
  <c r="I25" i="13"/>
  <c r="L25" i="13"/>
  <c r="A26" i="13"/>
  <c r="E26" i="13" s="1"/>
  <c r="B26" i="13"/>
  <c r="C26" i="13"/>
  <c r="H26" i="13"/>
  <c r="I26" i="13"/>
  <c r="L26" i="13"/>
  <c r="A27" i="13"/>
  <c r="E27" i="13" s="1"/>
  <c r="B27" i="13"/>
  <c r="C27" i="13"/>
  <c r="H27" i="13"/>
  <c r="I27" i="13"/>
  <c r="L27" i="13"/>
  <c r="A28" i="13"/>
  <c r="E28" i="13" s="1"/>
  <c r="B28" i="13"/>
  <c r="C28" i="13"/>
  <c r="H28" i="13"/>
  <c r="I28" i="13"/>
  <c r="L28" i="13"/>
  <c r="H29" i="13"/>
  <c r="I29" i="13"/>
  <c r="L29" i="13"/>
  <c r="H30" i="13"/>
  <c r="I30" i="13"/>
  <c r="L30" i="13"/>
  <c r="H31" i="13"/>
  <c r="I31" i="13"/>
  <c r="L31" i="13"/>
  <c r="H32" i="13"/>
  <c r="I32" i="13"/>
  <c r="L32" i="13"/>
  <c r="H33" i="13"/>
  <c r="I33" i="13"/>
  <c r="L33" i="13"/>
  <c r="H34" i="13"/>
  <c r="I34" i="13"/>
  <c r="L34" i="13"/>
  <c r="A35" i="13"/>
  <c r="E35" i="13" s="1"/>
  <c r="B35" i="13"/>
  <c r="C35" i="13"/>
  <c r="H35" i="13"/>
  <c r="I35" i="13"/>
  <c r="L35" i="13"/>
  <c r="A36" i="13"/>
  <c r="E36" i="13" s="1"/>
  <c r="B36" i="13"/>
  <c r="C36" i="13"/>
  <c r="H36" i="13"/>
  <c r="I36" i="13"/>
  <c r="L36" i="13"/>
  <c r="A37" i="13"/>
  <c r="E37" i="13" s="1"/>
  <c r="B37" i="13"/>
  <c r="C37" i="13"/>
  <c r="H37" i="13"/>
  <c r="I37" i="13"/>
  <c r="L37" i="13"/>
  <c r="A38" i="13"/>
  <c r="E38" i="13" s="1"/>
  <c r="B38" i="13"/>
  <c r="C38" i="13"/>
  <c r="H38" i="13"/>
  <c r="I38" i="13"/>
  <c r="L38" i="13"/>
  <c r="A39" i="13"/>
  <c r="E39" i="13" s="1"/>
  <c r="B39" i="13"/>
  <c r="C39" i="13"/>
  <c r="H39" i="13"/>
  <c r="I39" i="13"/>
  <c r="L39" i="13"/>
  <c r="H40" i="13"/>
  <c r="I40" i="13"/>
  <c r="L40" i="13"/>
  <c r="A41" i="13"/>
  <c r="E41" i="13" s="1"/>
  <c r="B41" i="13"/>
  <c r="C41" i="13"/>
  <c r="H41" i="13"/>
  <c r="I41" i="13"/>
  <c r="L41" i="13"/>
  <c r="A42" i="13"/>
  <c r="E42" i="13" s="1"/>
  <c r="B42" i="13"/>
  <c r="C42" i="13"/>
  <c r="H42" i="13"/>
  <c r="I42" i="13"/>
  <c r="L42" i="13"/>
  <c r="A43" i="13"/>
  <c r="E43" i="13" s="1"/>
  <c r="B43" i="13"/>
  <c r="C43" i="13"/>
  <c r="H43" i="13"/>
  <c r="I43" i="13"/>
  <c r="L43" i="13"/>
  <c r="A44" i="13"/>
  <c r="E44" i="13" s="1"/>
  <c r="B44" i="13"/>
  <c r="C44" i="13"/>
  <c r="H44" i="13"/>
  <c r="I44" i="13"/>
  <c r="L44" i="13"/>
  <c r="A45" i="13"/>
  <c r="E45" i="13" s="1"/>
  <c r="B45" i="13"/>
  <c r="C45" i="13"/>
  <c r="H45" i="13"/>
  <c r="I45" i="13"/>
  <c r="L45" i="13"/>
  <c r="A46" i="13"/>
  <c r="E46" i="13" s="1"/>
  <c r="B46" i="13"/>
  <c r="C46" i="13"/>
  <c r="H46" i="13"/>
  <c r="I46" i="13"/>
  <c r="L46" i="13"/>
  <c r="A47" i="13"/>
  <c r="E47" i="13" s="1"/>
  <c r="B47" i="13"/>
  <c r="C47" i="13"/>
  <c r="H47" i="13"/>
  <c r="I47" i="13"/>
  <c r="L47" i="13"/>
  <c r="A48" i="13"/>
  <c r="E48" i="13" s="1"/>
  <c r="B48" i="13"/>
  <c r="C48" i="13"/>
  <c r="H48" i="13"/>
  <c r="I48" i="13"/>
  <c r="L48" i="13"/>
  <c r="A49" i="13"/>
  <c r="E49" i="13" s="1"/>
  <c r="B49" i="13"/>
  <c r="C49" i="13"/>
  <c r="H49" i="13"/>
  <c r="I49" i="13"/>
  <c r="L49" i="13"/>
  <c r="A50" i="13"/>
  <c r="B50" i="13"/>
  <c r="C50" i="13"/>
  <c r="H50" i="13"/>
  <c r="I50" i="13"/>
  <c r="L50" i="13"/>
  <c r="A51" i="13"/>
  <c r="B51" i="13"/>
  <c r="C51" i="13"/>
  <c r="H51" i="13"/>
  <c r="I51" i="13"/>
  <c r="L51" i="13"/>
  <c r="A52" i="13"/>
  <c r="B52" i="13"/>
  <c r="C52" i="13"/>
  <c r="H52" i="13"/>
  <c r="I52" i="13"/>
  <c r="L52" i="13"/>
  <c r="A53" i="13"/>
  <c r="B53" i="13"/>
  <c r="C53" i="13"/>
  <c r="H53" i="13"/>
  <c r="I53" i="13"/>
  <c r="L53" i="13"/>
  <c r="A54" i="13"/>
  <c r="B54" i="13"/>
  <c r="C54" i="13"/>
  <c r="H54" i="13"/>
  <c r="I54" i="13"/>
  <c r="L54" i="13"/>
  <c r="A55" i="13"/>
  <c r="B55" i="13"/>
  <c r="C55" i="13"/>
  <c r="H55" i="13"/>
  <c r="I55" i="13"/>
  <c r="L55" i="13"/>
  <c r="A56" i="13"/>
  <c r="B56" i="13"/>
  <c r="C56" i="13"/>
  <c r="H56" i="13"/>
  <c r="I56" i="13"/>
  <c r="L56" i="13"/>
  <c r="B7" i="8"/>
  <c r="A8" i="8"/>
  <c r="B8" i="8"/>
  <c r="A9" i="8"/>
  <c r="B9" i="8"/>
  <c r="B10" i="8"/>
  <c r="A11" i="8"/>
  <c r="B11" i="8"/>
  <c r="A12" i="8"/>
  <c r="B12" i="8"/>
  <c r="B13" i="8"/>
  <c r="B14" i="8"/>
  <c r="B15" i="8"/>
  <c r="B16" i="8"/>
  <c r="B17" i="8"/>
  <c r="A18" i="8"/>
  <c r="B18" i="8"/>
  <c r="A19" i="8"/>
  <c r="B19" i="8"/>
  <c r="A20" i="8"/>
  <c r="B20" i="8"/>
  <c r="A21" i="8"/>
  <c r="B21" i="8"/>
  <c r="B22" i="8"/>
  <c r="B23" i="8"/>
  <c r="B24" i="8"/>
  <c r="A25" i="8"/>
  <c r="B25" i="8"/>
  <c r="B26" i="8"/>
  <c r="B27" i="8"/>
  <c r="B28" i="8"/>
  <c r="A29" i="8"/>
  <c r="B29" i="8"/>
  <c r="A30" i="8"/>
  <c r="B30" i="8"/>
  <c r="A31" i="8"/>
  <c r="B31" i="8"/>
  <c r="A33" i="8"/>
  <c r="B33" i="8"/>
  <c r="A34" i="8"/>
  <c r="B34" i="8"/>
  <c r="A35" i="8"/>
  <c r="B35" i="8"/>
  <c r="A36" i="8"/>
  <c r="B36" i="8"/>
  <c r="A37" i="8"/>
  <c r="B37" i="8"/>
  <c r="A38" i="8"/>
  <c r="B38" i="8"/>
  <c r="A39" i="8"/>
  <c r="B39" i="8"/>
  <c r="A40" i="8"/>
  <c r="B40" i="8"/>
  <c r="A41" i="8"/>
  <c r="B41" i="8"/>
  <c r="A42" i="8"/>
  <c r="B42" i="8"/>
  <c r="A43" i="8"/>
  <c r="B43" i="8"/>
  <c r="A44" i="8"/>
  <c r="B44" i="8"/>
  <c r="A45" i="8"/>
  <c r="B45" i="8"/>
  <c r="A46" i="8"/>
  <c r="B46" i="8"/>
  <c r="A47" i="8"/>
  <c r="B47" i="8"/>
  <c r="A48" i="8"/>
  <c r="B48" i="8"/>
  <c r="A49" i="8"/>
  <c r="B49" i="8"/>
  <c r="A50" i="8"/>
  <c r="B50" i="8"/>
  <c r="A51" i="8"/>
  <c r="B51" i="8"/>
  <c r="A52" i="8"/>
  <c r="B52" i="8"/>
  <c r="B53" i="8"/>
  <c r="B54" i="8"/>
  <c r="B55" i="8"/>
  <c r="A56" i="8"/>
  <c r="B56" i="8"/>
  <c r="B3" i="6"/>
  <c r="C3" i="6" s="1"/>
  <c r="G6" i="15"/>
  <c r="F6" i="15"/>
  <c r="C6" i="15"/>
  <c r="A6" i="15"/>
  <c r="C89" i="9"/>
  <c r="C40" i="13" s="1"/>
  <c r="E44" i="3"/>
  <c r="I6" i="13"/>
  <c r="H6" i="13"/>
  <c r="C6" i="13"/>
  <c r="B6" i="13"/>
  <c r="A6" i="13"/>
  <c r="E6" i="13" s="1"/>
  <c r="H6" i="7"/>
  <c r="C29" i="15" l="1"/>
  <c r="A29" i="15"/>
  <c r="C32" i="15"/>
  <c r="A32" i="15"/>
  <c r="AA21" i="7"/>
  <c r="I120" i="19"/>
  <c r="T14" i="13"/>
  <c r="U14" i="13" s="1"/>
  <c r="N68" i="19" s="1"/>
  <c r="T8" i="13"/>
  <c r="J9" i="15"/>
  <c r="D53" i="13"/>
  <c r="E53" i="13" s="1"/>
  <c r="J8" i="15"/>
  <c r="D52" i="13"/>
  <c r="E52" i="13" s="1"/>
  <c r="J12" i="15"/>
  <c r="D56" i="13"/>
  <c r="E56" i="13" s="1"/>
  <c r="J7" i="15"/>
  <c r="D51" i="13"/>
  <c r="E51" i="13" s="1"/>
  <c r="J6" i="15"/>
  <c r="D50" i="13"/>
  <c r="E50" i="13" s="1"/>
  <c r="J11" i="15"/>
  <c r="D55" i="13"/>
  <c r="E55" i="13" s="1"/>
  <c r="J10" i="15"/>
  <c r="D54" i="13"/>
  <c r="E54" i="13" s="1"/>
  <c r="T12" i="13"/>
  <c r="A30" i="15"/>
  <c r="T16" i="13"/>
  <c r="U16" i="13" s="1"/>
  <c r="N70" i="19" s="1"/>
  <c r="T15" i="13"/>
  <c r="U15" i="13" s="1"/>
  <c r="N69" i="19" s="1"/>
  <c r="T13" i="13"/>
  <c r="U13" i="13" s="1"/>
  <c r="N67" i="19" s="1"/>
  <c r="T11" i="13"/>
  <c r="I8" i="8"/>
  <c r="T6" i="7"/>
  <c r="A33" i="15"/>
  <c r="B26" i="6"/>
  <c r="C34" i="15"/>
  <c r="D76" i="9"/>
  <c r="F117" i="9" s="1"/>
  <c r="A10" i="8"/>
  <c r="A17" i="8"/>
  <c r="A16" i="8"/>
  <c r="A15" i="8"/>
  <c r="C31" i="15"/>
  <c r="C30" i="15"/>
  <c r="C33" i="15"/>
  <c r="A31" i="15"/>
  <c r="A34" i="15"/>
  <c r="F115" i="9"/>
  <c r="H115" i="9" s="1"/>
  <c r="I115" i="9" s="1"/>
  <c r="B6" i="12"/>
  <c r="E6" i="12" s="1"/>
  <c r="B5" i="12"/>
  <c r="E5" i="12" s="1"/>
  <c r="L6" i="13"/>
  <c r="L7" i="13"/>
  <c r="L8" i="13"/>
  <c r="L9" i="13"/>
  <c r="L10" i="13"/>
  <c r="L11" i="13"/>
  <c r="L12" i="13"/>
  <c r="L13" i="13"/>
  <c r="L14" i="13"/>
  <c r="L15" i="13"/>
  <c r="L16" i="13"/>
  <c r="A26" i="7" l="1"/>
  <c r="T26" i="7"/>
  <c r="U26" i="7" s="1"/>
  <c r="M61" i="2"/>
  <c r="M60" i="18"/>
  <c r="M63" i="2"/>
  <c r="M62" i="18"/>
  <c r="M59" i="2"/>
  <c r="M58" i="18"/>
  <c r="M60" i="2"/>
  <c r="M59" i="18"/>
  <c r="M62" i="2"/>
  <c r="M61" i="18"/>
  <c r="D69" i="2"/>
  <c r="D69" i="18"/>
  <c r="D70" i="18" s="1"/>
  <c r="A23" i="15"/>
  <c r="F106" i="2"/>
  <c r="H106" i="2" s="1"/>
  <c r="I106" i="2" s="1"/>
  <c r="T23" i="13"/>
  <c r="U23" i="13" s="1"/>
  <c r="C44" i="9"/>
  <c r="C9" i="12"/>
  <c r="C82" i="9"/>
  <c r="C30" i="13" s="1"/>
  <c r="T23" i="7" l="1"/>
  <c r="U23" i="7" s="1"/>
  <c r="A23" i="7"/>
  <c r="E23" i="7" s="1"/>
  <c r="F73" i="18"/>
  <c r="D73" i="18"/>
  <c r="F106" i="18" s="1"/>
  <c r="D106" i="18"/>
  <c r="B16" i="12"/>
  <c r="B9" i="12"/>
  <c r="D82" i="9"/>
  <c r="D27" i="9"/>
  <c r="C43" i="9"/>
  <c r="E43" i="9"/>
  <c r="E44" i="9"/>
  <c r="C45" i="9"/>
  <c r="E45" i="9"/>
  <c r="C46" i="9"/>
  <c r="E46" i="9"/>
  <c r="C86" i="9"/>
  <c r="C34" i="13" s="1"/>
  <c r="C85" i="9"/>
  <c r="C33" i="13" s="1"/>
  <c r="C84" i="9"/>
  <c r="C32" i="13" s="1"/>
  <c r="C83" i="9"/>
  <c r="C31" i="13" s="1"/>
  <c r="C81" i="9"/>
  <c r="C29" i="13" s="1"/>
  <c r="R43" i="9" a="1"/>
  <c r="R43" i="9" s="1"/>
  <c r="Q43" i="9" a="1"/>
  <c r="Q43" i="9" s="1"/>
  <c r="E48" i="9"/>
  <c r="C48" i="9"/>
  <c r="E47" i="9"/>
  <c r="C47" i="9"/>
  <c r="F47" i="9" l="1" a="1"/>
  <c r="F47" i="9" s="1"/>
  <c r="D7" i="15" a="1"/>
  <c r="D7" i="15" s="1"/>
  <c r="O105" i="19" s="1"/>
  <c r="F16" i="13" a="1"/>
  <c r="F16" i="13" s="1"/>
  <c r="O70" i="19" s="1"/>
  <c r="F9" i="13" a="1"/>
  <c r="F9" i="13" s="1"/>
  <c r="O63" i="19" s="1"/>
  <c r="D8" i="15" a="1"/>
  <c r="D8" i="15" s="1"/>
  <c r="O106" i="19" s="1"/>
  <c r="F46" i="13" a="1"/>
  <c r="F46" i="13" s="1"/>
  <c r="S46" i="13" s="1"/>
  <c r="D13" i="15" a="1"/>
  <c r="D13" i="15" s="1"/>
  <c r="F47" i="13" a="1"/>
  <c r="F47" i="13" s="1"/>
  <c r="S47" i="13" s="1"/>
  <c r="D15" i="15" a="1"/>
  <c r="D15" i="15" s="1"/>
  <c r="F48" i="13" a="1"/>
  <c r="F48" i="13" s="1"/>
  <c r="D16" i="15" a="1"/>
  <c r="D16" i="15" s="1"/>
  <c r="F53" i="13" a="1"/>
  <c r="F53" i="13" s="1"/>
  <c r="S53" i="13" s="1"/>
  <c r="D17" i="15" a="1"/>
  <c r="D17" i="15" s="1"/>
  <c r="F55" i="13" a="1"/>
  <c r="F55" i="13" s="1"/>
  <c r="S55" i="13" s="1"/>
  <c r="F8" i="13" a="1"/>
  <c r="F8" i="13" s="1"/>
  <c r="O62" i="19" s="1"/>
  <c r="F10" i="13" a="1"/>
  <c r="F10" i="13" s="1"/>
  <c r="O64" i="19" s="1"/>
  <c r="D6" i="15" a="1"/>
  <c r="D6" i="15" s="1"/>
  <c r="O104" i="19" s="1"/>
  <c r="F56" i="13" a="1"/>
  <c r="F56" i="13" s="1"/>
  <c r="S56" i="13" s="1"/>
  <c r="F6" i="13" a="1"/>
  <c r="F6" i="13" s="1"/>
  <c r="O60" i="19" s="1"/>
  <c r="F15" i="13" a="1"/>
  <c r="F15" i="13" s="1"/>
  <c r="O69" i="19" s="1"/>
  <c r="D27" i="15" a="1"/>
  <c r="D27" i="15" s="1"/>
  <c r="Q27" i="15" s="1"/>
  <c r="D37" i="15" a="1"/>
  <c r="D37" i="15" s="1"/>
  <c r="Q37" i="15" s="1"/>
  <c r="D48" i="15" a="1"/>
  <c r="D48" i="15" s="1"/>
  <c r="Q48" i="15" s="1"/>
  <c r="D18" i="15" a="1"/>
  <c r="D18" i="15" s="1"/>
  <c r="Q18" i="15" s="1"/>
  <c r="D28" i="15" a="1"/>
  <c r="D28" i="15" s="1"/>
  <c r="Q28" i="15" s="1"/>
  <c r="D38" i="15" a="1"/>
  <c r="D38" i="15" s="1"/>
  <c r="Q38" i="15" s="1"/>
  <c r="D39" i="15" a="1"/>
  <c r="D39" i="15" s="1"/>
  <c r="Q39" i="15" s="1"/>
  <c r="D49" i="15" a="1"/>
  <c r="D49" i="15" s="1"/>
  <c r="Q49" i="15" s="1"/>
  <c r="D9" i="15" a="1"/>
  <c r="D9" i="15" s="1"/>
  <c r="D19" i="15" a="1"/>
  <c r="D19" i="15" s="1"/>
  <c r="Q19" i="15" s="1"/>
  <c r="D40" i="15" a="1"/>
  <c r="D40" i="15" s="1"/>
  <c r="Q40" i="15" s="1"/>
  <c r="D50" i="15" a="1"/>
  <c r="D50" i="15" s="1"/>
  <c r="Q50" i="15" s="1"/>
  <c r="D10" i="15" a="1"/>
  <c r="D10" i="15" s="1"/>
  <c r="D20" i="15" a="1"/>
  <c r="D20" i="15" s="1"/>
  <c r="Q20" i="15" s="1"/>
  <c r="D41" i="15" a="1"/>
  <c r="D41" i="15" s="1"/>
  <c r="Q41" i="15" s="1"/>
  <c r="D51" i="15" a="1"/>
  <c r="D51" i="15" s="1"/>
  <c r="Q51" i="15" s="1"/>
  <c r="D11" i="15" a="1"/>
  <c r="D11" i="15" s="1"/>
  <c r="D22" i="15" a="1"/>
  <c r="D22" i="15" s="1"/>
  <c r="Q22" i="15" s="1"/>
  <c r="D42" i="15" a="1"/>
  <c r="D42" i="15" s="1"/>
  <c r="Q42" i="15" s="1"/>
  <c r="D52" i="15" a="1"/>
  <c r="D52" i="15" s="1"/>
  <c r="Q52" i="15" s="1"/>
  <c r="D12" i="15" a="1"/>
  <c r="D12" i="15" s="1"/>
  <c r="D53" i="15" a="1"/>
  <c r="D53" i="15" s="1"/>
  <c r="Q53" i="15" s="1"/>
  <c r="F19" i="13" a="1"/>
  <c r="F19" i="13" s="1"/>
  <c r="S19" i="13" s="1"/>
  <c r="F39" i="13" a="1"/>
  <c r="F39" i="13" s="1"/>
  <c r="S39" i="13" s="1"/>
  <c r="F49" i="13" a="1"/>
  <c r="F49" i="13" s="1"/>
  <c r="S49" i="13" s="1"/>
  <c r="F22" i="13" a="1"/>
  <c r="F22" i="13" s="1"/>
  <c r="S22" i="13" s="1"/>
  <c r="F25" i="13" a="1"/>
  <c r="F25" i="13" s="1"/>
  <c r="S25" i="13" s="1"/>
  <c r="F26" i="13" a="1"/>
  <c r="F26" i="13" s="1"/>
  <c r="S26" i="13" s="1"/>
  <c r="F27" i="13" a="1"/>
  <c r="F27" i="13" s="1"/>
  <c r="S27" i="13" s="1"/>
  <c r="F35" i="13" a="1"/>
  <c r="F35" i="13" s="1"/>
  <c r="S35" i="13" s="1"/>
  <c r="F7" i="13" a="1"/>
  <c r="F7" i="13" s="1"/>
  <c r="O61" i="19" s="1"/>
  <c r="F38" i="13" a="1"/>
  <c r="F38" i="13" s="1"/>
  <c r="S38" i="13" s="1"/>
  <c r="D23" i="15" a="1"/>
  <c r="D23" i="15" s="1"/>
  <c r="Q23" i="15" s="1"/>
  <c r="D43" i="15" a="1"/>
  <c r="D43" i="15" s="1"/>
  <c r="Q43" i="15" s="1"/>
  <c r="D54" i="15" a="1"/>
  <c r="D54" i="15" s="1"/>
  <c r="Q54" i="15" s="1"/>
  <c r="F20" i="13" a="1"/>
  <c r="F20" i="13" s="1"/>
  <c r="S20" i="13" s="1"/>
  <c r="F50" i="13" a="1"/>
  <c r="F50" i="13" s="1"/>
  <c r="S50" i="13" s="1"/>
  <c r="F14" i="13" a="1"/>
  <c r="F14" i="13" s="1"/>
  <c r="O68" i="19" s="1"/>
  <c r="F45" i="13" a="1"/>
  <c r="F45" i="13" s="1"/>
  <c r="S45" i="13" s="1"/>
  <c r="F17" i="13" a="1"/>
  <c r="F17" i="13" s="1"/>
  <c r="S17" i="13" s="1"/>
  <c r="F37" i="13" a="1"/>
  <c r="F37" i="13" s="1"/>
  <c r="S37" i="13" s="1"/>
  <c r="F18" i="13" a="1"/>
  <c r="F18" i="13" s="1"/>
  <c r="S18" i="13" s="1"/>
  <c r="D44" i="15" a="1"/>
  <c r="D44" i="15" s="1"/>
  <c r="Q44" i="15" s="1"/>
  <c r="F11" i="13" a="1"/>
  <c r="F11" i="13" s="1"/>
  <c r="O65" i="19" s="1"/>
  <c r="F41" i="13" a="1"/>
  <c r="F41" i="13" s="1"/>
  <c r="S41" i="13" s="1"/>
  <c r="F51" i="13" a="1"/>
  <c r="F51" i="13" s="1"/>
  <c r="S51" i="13" s="1"/>
  <c r="F52" i="13" a="1"/>
  <c r="F52" i="13" s="1"/>
  <c r="S52" i="13" s="1"/>
  <c r="F12" i="13" a="1"/>
  <c r="F12" i="13" s="1"/>
  <c r="O66" i="19" s="1"/>
  <c r="F42" i="13" a="1"/>
  <c r="F42" i="13" s="1"/>
  <c r="S42" i="13" s="1"/>
  <c r="F13" i="13" a="1"/>
  <c r="F13" i="13" s="1"/>
  <c r="O67" i="19" s="1"/>
  <c r="F43" i="13" a="1"/>
  <c r="F43" i="13" s="1"/>
  <c r="S43" i="13" s="1"/>
  <c r="F54" i="13" a="1"/>
  <c r="F54" i="13" s="1"/>
  <c r="S54" i="13" s="1"/>
  <c r="F44" i="13" a="1"/>
  <c r="F44" i="13" s="1"/>
  <c r="S44" i="13" s="1"/>
  <c r="F28" i="13" a="1"/>
  <c r="F28" i="13" s="1"/>
  <c r="S28" i="13" s="1"/>
  <c r="D14" i="15" a="1"/>
  <c r="D14" i="15" s="1"/>
  <c r="D35" i="15" a="1"/>
  <c r="D35" i="15" s="1"/>
  <c r="Q35" i="15" s="1"/>
  <c r="D45" i="15" a="1"/>
  <c r="D45" i="15" s="1"/>
  <c r="Q45" i="15" s="1"/>
  <c r="D55" i="15" a="1"/>
  <c r="D55" i="15" s="1"/>
  <c r="Q55" i="15" s="1"/>
  <c r="D25" i="15" a="1"/>
  <c r="D25" i="15" s="1"/>
  <c r="Q25" i="15" s="1"/>
  <c r="D36" i="15" a="1"/>
  <c r="D36" i="15" s="1"/>
  <c r="Q36" i="15" s="1"/>
  <c r="D46" i="15" a="1"/>
  <c r="D46" i="15" s="1"/>
  <c r="Q46" i="15" s="1"/>
  <c r="D56" i="15" a="1"/>
  <c r="D56" i="15" s="1"/>
  <c r="Q56" i="15" s="1"/>
  <c r="D26" i="15" a="1"/>
  <c r="D26" i="15" s="1"/>
  <c r="Q26" i="15" s="1"/>
  <c r="D47" i="15" a="1"/>
  <c r="D47" i="15" s="1"/>
  <c r="Q47" i="15" s="1"/>
  <c r="D57" i="15" a="1"/>
  <c r="D57" i="15" s="1"/>
  <c r="Q57" i="15" s="1"/>
  <c r="E9" i="12"/>
  <c r="A30" i="13"/>
  <c r="E30" i="13" s="1"/>
  <c r="D83" i="9"/>
  <c r="D81" i="9"/>
  <c r="D84" i="9"/>
  <c r="D86" i="9"/>
  <c r="D85" i="9"/>
  <c r="F23" i="13" a="1"/>
  <c r="F23" i="13" s="1"/>
  <c r="D28" i="9"/>
  <c r="B8" i="12" s="1"/>
  <c r="E8" i="12" s="1"/>
  <c r="F43" i="9" a="1"/>
  <c r="F43" i="9" s="1"/>
  <c r="F44" i="9" a="1"/>
  <c r="F44" i="9" s="1"/>
  <c r="F45" i="9" a="1"/>
  <c r="F45" i="9" s="1"/>
  <c r="F46" i="9" a="1"/>
  <c r="F46" i="9" s="1"/>
  <c r="F48" i="9" a="1"/>
  <c r="F48" i="9" s="1"/>
  <c r="Q16" i="15" l="1"/>
  <c r="N114" i="19" s="1"/>
  <c r="O114" i="19"/>
  <c r="Q10" i="15"/>
  <c r="N108" i="19" s="1"/>
  <c r="O108" i="19"/>
  <c r="Q13" i="15"/>
  <c r="N111" i="19" s="1"/>
  <c r="O111" i="19"/>
  <c r="Q12" i="15"/>
  <c r="N110" i="19" s="1"/>
  <c r="O110" i="19"/>
  <c r="Q9" i="15"/>
  <c r="N107" i="19" s="1"/>
  <c r="O107" i="19"/>
  <c r="Q15" i="15"/>
  <c r="N113" i="19" s="1"/>
  <c r="O113" i="19"/>
  <c r="Q14" i="15"/>
  <c r="N112" i="19" s="1"/>
  <c r="O112" i="19"/>
  <c r="Q11" i="15"/>
  <c r="N109" i="19" s="1"/>
  <c r="O109" i="19"/>
  <c r="Q17" i="15"/>
  <c r="N115" i="19" s="1"/>
  <c r="O115" i="19"/>
  <c r="E122" i="9"/>
  <c r="D72" i="9"/>
  <c r="T21" i="13" s="1"/>
  <c r="U21" i="13" s="1"/>
  <c r="O64" i="9"/>
  <c r="S13" i="13"/>
  <c r="O65" i="9"/>
  <c r="S14" i="13"/>
  <c r="S48" i="13"/>
  <c r="U48" i="13" s="1"/>
  <c r="S12" i="13"/>
  <c r="U12" i="13" s="1"/>
  <c r="N66" i="19" s="1"/>
  <c r="O63" i="9"/>
  <c r="O66" i="9"/>
  <c r="S15" i="13"/>
  <c r="O57" i="9"/>
  <c r="S6" i="13"/>
  <c r="O62" i="9"/>
  <c r="S11" i="13"/>
  <c r="U11" i="13" s="1"/>
  <c r="N65" i="19" s="1"/>
  <c r="S10" i="13"/>
  <c r="U10" i="13" s="1"/>
  <c r="O61" i="9"/>
  <c r="O60" i="9"/>
  <c r="S9" i="13"/>
  <c r="U9" i="13" s="1"/>
  <c r="O58" i="9"/>
  <c r="S7" i="13"/>
  <c r="U7" i="13" s="1"/>
  <c r="S8" i="13"/>
  <c r="U8" i="13" s="1"/>
  <c r="O59" i="9"/>
  <c r="O67" i="9"/>
  <c r="S16" i="13"/>
  <c r="E86" i="9"/>
  <c r="B34" i="13" s="1"/>
  <c r="E127" i="9"/>
  <c r="E83" i="9"/>
  <c r="B31" i="13" s="1"/>
  <c r="E124" i="9"/>
  <c r="E85" i="9"/>
  <c r="B33" i="13" s="1"/>
  <c r="E126" i="9"/>
  <c r="E82" i="9"/>
  <c r="B30" i="13" s="1"/>
  <c r="E123" i="9"/>
  <c r="E84" i="9"/>
  <c r="B32" i="13" s="1"/>
  <c r="E125" i="9"/>
  <c r="Q8" i="15"/>
  <c r="O102" i="9"/>
  <c r="O101" i="9"/>
  <c r="Q7" i="15"/>
  <c r="A33" i="13"/>
  <c r="E33" i="13" s="1"/>
  <c r="A34" i="13"/>
  <c r="E34" i="13" s="1"/>
  <c r="A32" i="13"/>
  <c r="E32" i="13" s="1"/>
  <c r="A29" i="13"/>
  <c r="E29" i="13" s="1"/>
  <c r="A31" i="13"/>
  <c r="E31" i="13" s="1"/>
  <c r="A23" i="13"/>
  <c r="E23" i="13" s="1"/>
  <c r="O108" i="9"/>
  <c r="O105" i="9"/>
  <c r="O107" i="9"/>
  <c r="O111" i="9"/>
  <c r="O110" i="9"/>
  <c r="N110" i="9"/>
  <c r="O106" i="9"/>
  <c r="Q6" i="15"/>
  <c r="O100" i="9"/>
  <c r="C3" i="15"/>
  <c r="O109" i="9"/>
  <c r="O103" i="9"/>
  <c r="O104" i="9"/>
  <c r="E81" i="9"/>
  <c r="B29" i="13" s="1"/>
  <c r="N111" i="9" l="1"/>
  <c r="N107" i="9"/>
  <c r="T56" i="13" s="1"/>
  <c r="U56" i="13" s="1"/>
  <c r="N104" i="9"/>
  <c r="T53" i="13" s="1"/>
  <c r="U53" i="13" s="1"/>
  <c r="N106" i="9"/>
  <c r="T55" i="13" s="1"/>
  <c r="U55" i="13" s="1"/>
  <c r="N103" i="9"/>
  <c r="T52" i="13" s="1"/>
  <c r="U52" i="13" s="1"/>
  <c r="N109" i="9"/>
  <c r="N105" i="9"/>
  <c r="T54" i="13" s="1"/>
  <c r="U54" i="13" s="1"/>
  <c r="N101" i="9"/>
  <c r="T50" i="13" s="1"/>
  <c r="U50" i="13" s="1"/>
  <c r="N105" i="19"/>
  <c r="N108" i="9"/>
  <c r="N100" i="9"/>
  <c r="T49" i="13" s="1"/>
  <c r="U49" i="13" s="1"/>
  <c r="N104" i="19"/>
  <c r="N102" i="9"/>
  <c r="T51" i="13" s="1"/>
  <c r="U51" i="13" s="1"/>
  <c r="N106" i="19"/>
  <c r="F116" i="9"/>
  <c r="D116" i="9"/>
  <c r="D30" i="9"/>
  <c r="S23" i="13"/>
  <c r="B10" i="12"/>
  <c r="B31" i="12"/>
  <c r="B32" i="12"/>
  <c r="B22" i="12"/>
  <c r="C22" i="12" s="1"/>
  <c r="B3" i="12"/>
  <c r="F21" i="13" a="1"/>
  <c r="F21" i="13" s="1"/>
  <c r="F83" i="9"/>
  <c r="G83" i="9" s="1"/>
  <c r="F82" i="9"/>
  <c r="G82" i="9" s="1"/>
  <c r="F86" i="9"/>
  <c r="G86" i="9" s="1"/>
  <c r="F126" i="9"/>
  <c r="D33" i="15" a="1"/>
  <c r="D33" i="15" s="1"/>
  <c r="Q33" i="15" s="1"/>
  <c r="F85" i="9"/>
  <c r="G85" i="9" s="1"/>
  <c r="F84" i="9"/>
  <c r="G84" i="9" s="1"/>
  <c r="F127" i="9"/>
  <c r="D34" i="15" a="1"/>
  <c r="D34" i="15" s="1"/>
  <c r="Q34" i="15" s="1"/>
  <c r="F125" i="9"/>
  <c r="D32" i="15" a="1"/>
  <c r="D32" i="15" s="1"/>
  <c r="Q32" i="15" s="1"/>
  <c r="F122" i="9"/>
  <c r="D29" i="15" a="1"/>
  <c r="D29" i="15" s="1"/>
  <c r="Q29" i="15" s="1"/>
  <c r="F123" i="9"/>
  <c r="D30" i="15" a="1"/>
  <c r="D30" i="15" s="1"/>
  <c r="Q30" i="15" s="1"/>
  <c r="F124" i="9"/>
  <c r="D31" i="15" a="1"/>
  <c r="D31" i="15" s="1"/>
  <c r="Q31" i="15" s="1"/>
  <c r="A21" i="15"/>
  <c r="D21" i="15" a="1"/>
  <c r="D21" i="15" s="1"/>
  <c r="Q21" i="15" s="1"/>
  <c r="A21" i="13"/>
  <c r="E21" i="13" s="1"/>
  <c r="F81" i="9"/>
  <c r="D75" i="9"/>
  <c r="F75" i="9"/>
  <c r="H116" i="9" s="1"/>
  <c r="I116" i="9" s="1"/>
  <c r="B6" i="8"/>
  <c r="A6" i="8"/>
  <c r="E10" i="12" l="1"/>
  <c r="G76" i="9" s="1"/>
  <c r="F79" i="19"/>
  <c r="B11" i="12"/>
  <c r="E11" i="12" s="1"/>
  <c r="S21" i="13"/>
  <c r="G81" i="9"/>
  <c r="T30" i="13" s="1"/>
  <c r="U30" i="13" s="1"/>
  <c r="F34" i="13" a="1"/>
  <c r="F34" i="13" s="1"/>
  <c r="S34" i="13" s="1"/>
  <c r="T35" i="13"/>
  <c r="U35" i="13" s="1"/>
  <c r="F30" i="13" a="1"/>
  <c r="F30" i="13" s="1"/>
  <c r="S30" i="13" s="1"/>
  <c r="T31" i="13"/>
  <c r="U31" i="13" s="1"/>
  <c r="F31" i="13" a="1"/>
  <c r="F31" i="13" s="1"/>
  <c r="S31" i="13" s="1"/>
  <c r="T32" i="13"/>
  <c r="U32" i="13" s="1"/>
  <c r="F32" i="13" a="1"/>
  <c r="F32" i="13" s="1"/>
  <c r="S32" i="13" s="1"/>
  <c r="T33" i="13"/>
  <c r="U33" i="13" s="1"/>
  <c r="F33" i="13" a="1"/>
  <c r="F33" i="13" s="1"/>
  <c r="S33" i="13" s="1"/>
  <c r="T34" i="13"/>
  <c r="U34" i="13" s="1"/>
  <c r="T24" i="13"/>
  <c r="U24" i="13" s="1"/>
  <c r="D89" i="9"/>
  <c r="F76" i="9"/>
  <c r="H117" i="9" s="1"/>
  <c r="I117" i="9" s="1"/>
  <c r="D108" i="2"/>
  <c r="A24" i="15"/>
  <c r="D24" i="15" a="1"/>
  <c r="D24" i="15" s="1"/>
  <c r="Q24" i="15" s="1"/>
  <c r="F29" i="13" a="1"/>
  <c r="F29" i="13" s="1"/>
  <c r="S29" i="13" s="1"/>
  <c r="F36" i="13" a="1"/>
  <c r="F36" i="13" s="1"/>
  <c r="S36" i="13" s="1"/>
  <c r="F24" i="13" a="1"/>
  <c r="F24" i="13" s="1"/>
  <c r="A24" i="13"/>
  <c r="E24" i="13" s="1"/>
  <c r="B4" i="12"/>
  <c r="E4" i="12" s="1"/>
  <c r="E3" i="12"/>
  <c r="B6" i="7"/>
  <c r="C6" i="7"/>
  <c r="A6" i="7"/>
  <c r="E6" i="7" s="1"/>
  <c r="C76" i="2"/>
  <c r="B5" i="6"/>
  <c r="C5" i="6" s="1"/>
  <c r="E89" i="9" l="1"/>
  <c r="B40" i="13" s="1"/>
  <c r="B17" i="12"/>
  <c r="G79" i="19"/>
  <c r="C30" i="7"/>
  <c r="S24" i="13"/>
  <c r="E4" i="7"/>
  <c r="T25" i="13"/>
  <c r="U25" i="13" s="1"/>
  <c r="N58" i="9"/>
  <c r="N59" i="9"/>
  <c r="N60" i="9"/>
  <c r="N61" i="9"/>
  <c r="N62" i="9"/>
  <c r="N65" i="9"/>
  <c r="N66" i="9"/>
  <c r="N67" i="9"/>
  <c r="N63" i="9"/>
  <c r="N64" i="9"/>
  <c r="F40" i="13" a="1"/>
  <c r="F40" i="13" s="1"/>
  <c r="A40" i="13"/>
  <c r="E40" i="13" s="1"/>
  <c r="B32" i="8"/>
  <c r="E45" i="3"/>
  <c r="D29" i="2"/>
  <c r="D37" i="2" s="1"/>
  <c r="F32" i="7" l="1" a="1"/>
  <c r="F32" i="7" s="1"/>
  <c r="S32" i="7" s="1"/>
  <c r="F39" i="7" a="1"/>
  <c r="F39" i="7" s="1"/>
  <c r="S39" i="7" s="1"/>
  <c r="F47" i="7" a="1"/>
  <c r="F47" i="7" s="1"/>
  <c r="N92" i="18" s="1"/>
  <c r="F54" i="7" a="1"/>
  <c r="F54" i="7" s="1"/>
  <c r="S54" i="7" s="1"/>
  <c r="F34" i="7" a="1"/>
  <c r="F34" i="7" s="1"/>
  <c r="S34" i="7" s="1"/>
  <c r="F56" i="7" a="1"/>
  <c r="F56" i="7" s="1"/>
  <c r="S56" i="7" s="1"/>
  <c r="F10" i="7" a="1"/>
  <c r="F10" i="7" s="1"/>
  <c r="S10" i="7" s="1"/>
  <c r="F17" i="7" a="1"/>
  <c r="F17" i="7" s="1"/>
  <c r="S17" i="7" s="1"/>
  <c r="F42" i="7" a="1"/>
  <c r="F42" i="7" s="1"/>
  <c r="N87" i="18" s="1"/>
  <c r="F25" i="7" a="1"/>
  <c r="F25" i="7" s="1"/>
  <c r="S25" i="7" s="1"/>
  <c r="F35" i="7" a="1"/>
  <c r="F35" i="7" s="1"/>
  <c r="S35" i="7" s="1"/>
  <c r="F43" i="7" a="1"/>
  <c r="F43" i="7" s="1"/>
  <c r="N88" i="18" s="1"/>
  <c r="F50" i="7" a="1"/>
  <c r="F50" i="7" s="1"/>
  <c r="N95" i="18" s="1"/>
  <c r="F7" i="7" a="1"/>
  <c r="F7" i="7" s="1"/>
  <c r="S7" i="7" s="1"/>
  <c r="F21" i="7" a="1"/>
  <c r="F21" i="7" s="1"/>
  <c r="S21" i="7" s="1"/>
  <c r="F8" i="7" a="1"/>
  <c r="F8" i="7" s="1"/>
  <c r="S8" i="7" s="1"/>
  <c r="F15" i="7" a="1"/>
  <c r="F15" i="7" s="1"/>
  <c r="S15" i="7" s="1"/>
  <c r="F40" i="7" a="1"/>
  <c r="F40" i="7" s="1"/>
  <c r="S40" i="7" s="1"/>
  <c r="U40" i="7" s="1"/>
  <c r="F55" i="7" a="1"/>
  <c r="F55" i="7" s="1"/>
  <c r="S55" i="7" s="1"/>
  <c r="F9" i="7" a="1"/>
  <c r="F9" i="7" s="1"/>
  <c r="S9" i="7" s="1"/>
  <c r="F41" i="7" a="1"/>
  <c r="F41" i="7" s="1"/>
  <c r="F49" i="7" a="1"/>
  <c r="F49" i="7" s="1"/>
  <c r="N94" i="18" s="1"/>
  <c r="F16" i="7" a="1"/>
  <c r="F16" i="7" s="1"/>
  <c r="S16" i="7" s="1"/>
  <c r="F33" i="7" a="1"/>
  <c r="F33" i="7" s="1"/>
  <c r="S33" i="7" s="1"/>
  <c r="F48" i="7" a="1"/>
  <c r="F48" i="7" s="1"/>
  <c r="N93" i="18" s="1"/>
  <c r="F11" i="7" a="1"/>
  <c r="F11" i="7" s="1"/>
  <c r="S11" i="7" s="1"/>
  <c r="F18" i="7" a="1"/>
  <c r="F18" i="7" s="1"/>
  <c r="S18" i="7" s="1"/>
  <c r="F19" i="7" a="1"/>
  <c r="F19" i="7" s="1"/>
  <c r="S19" i="7" s="1"/>
  <c r="F29" i="7" a="1"/>
  <c r="F29" i="7" s="1"/>
  <c r="S29" i="7" s="1"/>
  <c r="F36" i="7" a="1"/>
  <c r="F36" i="7" s="1"/>
  <c r="S36" i="7" s="1"/>
  <c r="F44" i="7" a="1"/>
  <c r="F44" i="7" s="1"/>
  <c r="N89" i="18" s="1"/>
  <c r="F51" i="7" a="1"/>
  <c r="F51" i="7" s="1"/>
  <c r="N96" i="18" s="1"/>
  <c r="F12" i="7" a="1"/>
  <c r="F12" i="7" s="1"/>
  <c r="S12" i="7" s="1"/>
  <c r="F37" i="7" a="1"/>
  <c r="F37" i="7" s="1"/>
  <c r="S37" i="7" s="1"/>
  <c r="F52" i="7" a="1"/>
  <c r="F52" i="7" s="1"/>
  <c r="N97" i="18" s="1"/>
  <c r="F13" i="7" a="1"/>
  <c r="F13" i="7" s="1"/>
  <c r="S13" i="7" s="1"/>
  <c r="F20" i="7" a="1"/>
  <c r="F20" i="7" s="1"/>
  <c r="S20" i="7" s="1"/>
  <c r="F45" i="7" a="1"/>
  <c r="F45" i="7" s="1"/>
  <c r="N90" i="18" s="1"/>
  <c r="F31" i="7" a="1"/>
  <c r="F31" i="7" s="1"/>
  <c r="S31" i="7" s="1"/>
  <c r="F38" i="7" a="1"/>
  <c r="F38" i="7" s="1"/>
  <c r="S38" i="7" s="1"/>
  <c r="F46" i="7" a="1"/>
  <c r="F46" i="7" s="1"/>
  <c r="N91" i="18" s="1"/>
  <c r="F53" i="7" a="1"/>
  <c r="F53" i="7" s="1"/>
  <c r="F14" i="7" a="1"/>
  <c r="F14" i="7" s="1"/>
  <c r="S14" i="7" s="1"/>
  <c r="F26" i="7" a="1"/>
  <c r="F26" i="7" s="1"/>
  <c r="F23" i="7" a="1"/>
  <c r="F23" i="7" s="1"/>
  <c r="S23" i="7" s="1"/>
  <c r="S40" i="13"/>
  <c r="T38" i="13"/>
  <c r="U38" i="13" s="1"/>
  <c r="D68" i="2"/>
  <c r="C6" i="8" a="1"/>
  <c r="C6" i="8" s="1"/>
  <c r="C18" i="8" a="1"/>
  <c r="C18" i="8" s="1"/>
  <c r="P18" i="8" s="1"/>
  <c r="C30" i="8" a="1"/>
  <c r="C30" i="8" s="1"/>
  <c r="P30" i="8" s="1"/>
  <c r="C42" i="8" a="1"/>
  <c r="C42" i="8" s="1"/>
  <c r="P42" i="8" s="1"/>
  <c r="C54" i="8" a="1"/>
  <c r="C54" i="8" s="1"/>
  <c r="P54" i="8" s="1"/>
  <c r="C32" i="8" a="1"/>
  <c r="C32" i="8" s="1"/>
  <c r="P32" i="8" s="1"/>
  <c r="C7" i="8" a="1"/>
  <c r="C7" i="8" s="1"/>
  <c r="C19" i="8" a="1"/>
  <c r="C19" i="8" s="1"/>
  <c r="P19" i="8" s="1"/>
  <c r="C31" i="8" a="1"/>
  <c r="C31" i="8" s="1"/>
  <c r="P31" i="8" s="1"/>
  <c r="C43" i="8" a="1"/>
  <c r="C43" i="8" s="1"/>
  <c r="P43" i="8" s="1"/>
  <c r="C55" i="8" a="1"/>
  <c r="C55" i="8" s="1"/>
  <c r="P55" i="8" s="1"/>
  <c r="C8" i="8" a="1"/>
  <c r="C8" i="8" s="1"/>
  <c r="C9" i="8" a="1"/>
  <c r="C9" i="8" s="1"/>
  <c r="C21" i="8" a="1"/>
  <c r="C21" i="8" s="1"/>
  <c r="P21" i="8" s="1"/>
  <c r="C33" i="8" a="1"/>
  <c r="C33" i="8" s="1"/>
  <c r="P33" i="8" s="1"/>
  <c r="C45" i="8" a="1"/>
  <c r="C45" i="8" s="1"/>
  <c r="P45" i="8" s="1"/>
  <c r="C37" i="8" a="1"/>
  <c r="C37" i="8" s="1"/>
  <c r="P37" i="8" s="1"/>
  <c r="C10" i="8" a="1"/>
  <c r="C10" i="8" s="1"/>
  <c r="C34" i="8" a="1"/>
  <c r="C34" i="8" s="1"/>
  <c r="P34" i="8" s="1"/>
  <c r="C46" i="8" a="1"/>
  <c r="C46" i="8" s="1"/>
  <c r="P46" i="8" s="1"/>
  <c r="C25" i="8" a="1"/>
  <c r="C25" i="8" s="1"/>
  <c r="P25" i="8" s="1"/>
  <c r="C14" i="8" a="1"/>
  <c r="C14" i="8" s="1"/>
  <c r="C11" i="8" a="1"/>
  <c r="C11" i="8" s="1"/>
  <c r="C35" i="8" a="1"/>
  <c r="C35" i="8" s="1"/>
  <c r="P35" i="8" s="1"/>
  <c r="C47" i="8" a="1"/>
  <c r="C47" i="8" s="1"/>
  <c r="P47" i="8" s="1"/>
  <c r="C49" i="8" a="1"/>
  <c r="C49" i="8" s="1"/>
  <c r="P49" i="8" s="1"/>
  <c r="C38" i="8" a="1"/>
  <c r="C38" i="8" s="1"/>
  <c r="P38" i="8" s="1"/>
  <c r="C12" i="8" a="1"/>
  <c r="C12" i="8" s="1"/>
  <c r="C36" i="8" a="1"/>
  <c r="C36" i="8" s="1"/>
  <c r="P36" i="8" s="1"/>
  <c r="C48" i="8" a="1"/>
  <c r="C48" i="8" s="1"/>
  <c r="P48" i="8" s="1"/>
  <c r="C13" i="8" a="1"/>
  <c r="C13" i="8" s="1"/>
  <c r="C26" i="8" a="1"/>
  <c r="C26" i="8" s="1"/>
  <c r="C15" i="8" a="1"/>
  <c r="C15" i="8" s="1"/>
  <c r="C39" i="8" a="1"/>
  <c r="C39" i="8" s="1"/>
  <c r="P39" i="8" s="1"/>
  <c r="C51" i="8" a="1"/>
  <c r="C51" i="8" s="1"/>
  <c r="P51" i="8" s="1"/>
  <c r="C56" i="8" a="1"/>
  <c r="C56" i="8" s="1"/>
  <c r="P56" i="8" s="1"/>
  <c r="C50" i="8" a="1"/>
  <c r="C50" i="8" s="1"/>
  <c r="P50" i="8" s="1"/>
  <c r="C16" i="8" a="1"/>
  <c r="C16" i="8" s="1"/>
  <c r="C28" i="8" a="1"/>
  <c r="C28" i="8" s="1"/>
  <c r="C40" i="8" a="1"/>
  <c r="C40" i="8" s="1"/>
  <c r="P40" i="8" s="1"/>
  <c r="C52" i="8" a="1"/>
  <c r="C52" i="8" s="1"/>
  <c r="P52" i="8" s="1"/>
  <c r="C44" i="8" a="1"/>
  <c r="C44" i="8" s="1"/>
  <c r="P44" i="8" s="1"/>
  <c r="C17" i="8" a="1"/>
  <c r="C17" i="8" s="1"/>
  <c r="C29" i="8" a="1"/>
  <c r="C29" i="8" s="1"/>
  <c r="C41" i="8" a="1"/>
  <c r="C41" i="8" s="1"/>
  <c r="P41" i="8" s="1"/>
  <c r="C53" i="8" a="1"/>
  <c r="C53" i="8" s="1"/>
  <c r="P53" i="8" s="1"/>
  <c r="C20" i="8" a="1"/>
  <c r="C20" i="8" s="1"/>
  <c r="P20" i="8" s="1"/>
  <c r="F6" i="7" a="1"/>
  <c r="F6" i="7" s="1"/>
  <c r="L6" i="7"/>
  <c r="D30" i="2"/>
  <c r="B9" i="6" s="1"/>
  <c r="C9" i="6" s="1"/>
  <c r="S53" i="7" l="1"/>
  <c r="N98" i="18"/>
  <c r="S48" i="7"/>
  <c r="N95" i="2"/>
  <c r="S43" i="7"/>
  <c r="N90" i="2"/>
  <c r="S52" i="7"/>
  <c r="N99" i="2"/>
  <c r="F22" i="7" a="1"/>
  <c r="F22" i="7" s="1"/>
  <c r="T22" i="7"/>
  <c r="U22" i="7" s="1"/>
  <c r="A22" i="7"/>
  <c r="E22" i="7" s="1"/>
  <c r="S49" i="7"/>
  <c r="N96" i="2"/>
  <c r="S42" i="7"/>
  <c r="N89" i="2"/>
  <c r="S51" i="7"/>
  <c r="N98" i="2"/>
  <c r="N91" i="2"/>
  <c r="S44" i="7"/>
  <c r="S41" i="7"/>
  <c r="U41" i="7" s="1"/>
  <c r="M88" i="2" s="1"/>
  <c r="N88" i="2"/>
  <c r="S46" i="7"/>
  <c r="N93" i="2"/>
  <c r="S47" i="7"/>
  <c r="N94" i="2"/>
  <c r="S45" i="7"/>
  <c r="N92" i="2"/>
  <c r="S50" i="7"/>
  <c r="N97" i="2"/>
  <c r="N62" i="18"/>
  <c r="N59" i="18"/>
  <c r="N56" i="18"/>
  <c r="N57" i="2"/>
  <c r="N55" i="18"/>
  <c r="N56" i="2"/>
  <c r="N52" i="18"/>
  <c r="N58" i="18"/>
  <c r="N61" i="18"/>
  <c r="N54" i="18"/>
  <c r="N55" i="2"/>
  <c r="N57" i="18"/>
  <c r="N53" i="18"/>
  <c r="N60" i="18"/>
  <c r="N62" i="2"/>
  <c r="M57" i="18"/>
  <c r="N58" i="2"/>
  <c r="N59" i="2"/>
  <c r="N54" i="2"/>
  <c r="M56" i="18"/>
  <c r="N63" i="2"/>
  <c r="A54" i="8"/>
  <c r="N61" i="2"/>
  <c r="M55" i="18"/>
  <c r="N60" i="2"/>
  <c r="S6" i="7"/>
  <c r="U6" i="7" s="1"/>
  <c r="N52" i="2"/>
  <c r="N53" i="2"/>
  <c r="C22" i="8" a="1"/>
  <c r="C22" i="8" s="1"/>
  <c r="P22" i="8" s="1"/>
  <c r="C23" i="8" a="1"/>
  <c r="C23" i="8" s="1"/>
  <c r="P23" i="8" s="1"/>
  <c r="P11" i="8"/>
  <c r="P16" i="8"/>
  <c r="P7" i="8"/>
  <c r="P14" i="8"/>
  <c r="P17" i="8"/>
  <c r="P13" i="8"/>
  <c r="A22" i="8"/>
  <c r="P12" i="8"/>
  <c r="P9" i="8"/>
  <c r="P8" i="8"/>
  <c r="P10" i="8"/>
  <c r="P15" i="8"/>
  <c r="A23" i="8"/>
  <c r="P26" i="8"/>
  <c r="A26" i="8"/>
  <c r="E26" i="7"/>
  <c r="S26" i="7" s="1"/>
  <c r="F3" i="7"/>
  <c r="C3" i="8"/>
  <c r="P6" i="8"/>
  <c r="F3" i="13"/>
  <c r="D70" i="2"/>
  <c r="S22" i="7" l="1"/>
  <c r="D32" i="18"/>
  <c r="D76" i="18" s="1"/>
  <c r="F24" i="7" a="1"/>
  <c r="F24" i="7" s="1"/>
  <c r="T24" i="7"/>
  <c r="U24" i="7" s="1"/>
  <c r="A24" i="7"/>
  <c r="E24" i="7" s="1"/>
  <c r="D107" i="2"/>
  <c r="A53" i="8"/>
  <c r="U6" i="13"/>
  <c r="E76" i="2"/>
  <c r="B30" i="7" s="1"/>
  <c r="B10" i="6"/>
  <c r="C10" i="6" s="1"/>
  <c r="A24" i="8"/>
  <c r="D73" i="2"/>
  <c r="F73" i="2"/>
  <c r="D39" i="3"/>
  <c r="D37" i="3"/>
  <c r="N57" i="9" l="1"/>
  <c r="B7" i="12" s="1"/>
  <c r="E7" i="12" s="1"/>
  <c r="E76" i="18"/>
  <c r="S24" i="7"/>
  <c r="F27" i="7" a="1"/>
  <c r="F27" i="7" s="1"/>
  <c r="A27" i="7"/>
  <c r="E27" i="7" s="1"/>
  <c r="T27" i="7"/>
  <c r="U27" i="7" s="1"/>
  <c r="G74" i="2"/>
  <c r="G74" i="18"/>
  <c r="F74" i="18"/>
  <c r="F107" i="2"/>
  <c r="H107" i="2" s="1"/>
  <c r="I107" i="2" s="1"/>
  <c r="D76" i="2"/>
  <c r="A55" i="8"/>
  <c r="C27" i="8" a="1"/>
  <c r="C27" i="8" s="1"/>
  <c r="C24" i="8" a="1"/>
  <c r="C24" i="8" s="1"/>
  <c r="P24" i="8" s="1"/>
  <c r="A27" i="8"/>
  <c r="D74" i="2"/>
  <c r="A30" i="7" l="1"/>
  <c r="E30" i="7" s="1"/>
  <c r="F30" i="7" a="1"/>
  <c r="F30" i="7" s="1"/>
  <c r="T30" i="7"/>
  <c r="U30" i="7" s="1"/>
  <c r="A28" i="7"/>
  <c r="E28" i="7" s="1"/>
  <c r="S27" i="7"/>
  <c r="F108" i="2"/>
  <c r="B4" i="6"/>
  <c r="F3" i="12"/>
  <c r="M58" i="2"/>
  <c r="M54" i="2"/>
  <c r="M53" i="2"/>
  <c r="M57" i="2"/>
  <c r="M56" i="2"/>
  <c r="M52" i="2"/>
  <c r="B6" i="6" s="1"/>
  <c r="C6" i="6" s="1"/>
  <c r="A32" i="8"/>
  <c r="I27" i="8"/>
  <c r="P27" i="8" s="1"/>
  <c r="I28" i="8"/>
  <c r="P28" i="8" s="1"/>
  <c r="I29" i="8"/>
  <c r="P29" i="8" s="1"/>
  <c r="F74" i="2"/>
  <c r="A28" i="8"/>
  <c r="H108" i="2" l="1"/>
  <c r="I108" i="2" s="1"/>
  <c r="T28" i="7"/>
  <c r="U28" i="7" s="1"/>
  <c r="S30" i="7"/>
  <c r="F28" i="7" a="1"/>
  <c r="F28" i="7" s="1"/>
  <c r="S28" i="7" s="1"/>
  <c r="B13" i="6"/>
  <c r="H32" i="9"/>
  <c r="K32" i="9" s="1"/>
  <c r="B7" i="6"/>
  <c r="C7" i="6" s="1"/>
  <c r="B14" i="6"/>
  <c r="B8" i="6"/>
  <c r="C8" i="6" s="1"/>
  <c r="C4" i="6"/>
  <c r="M34" i="19" l="1"/>
  <c r="J32" i="9"/>
  <c r="B11" i="6" a="1"/>
  <c r="B11" i="6" s="1"/>
  <c r="E3" i="6"/>
  <c r="H34" i="2" l="1"/>
  <c r="O34" i="18"/>
  <c r="C11" i="6"/>
  <c r="J34" i="2" l="1"/>
  <c r="K34"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tc={9DB7A7A9-849A-4DB0-94C0-F74AE1070B61}</author>
    <author>tc={FBAB8B35-0E61-413D-A43F-1D413710EF5C}</author>
  </authors>
  <commentList>
    <comment ref="C9" authorId="0" shapeId="0" xr:uid="{9DB7A7A9-849A-4DB0-94C0-F74AE1070B61}">
      <text>
        <t>[Threaded comment]
Your version of Excel allows you to read this threaded comment; however, any edits to it will get removed if the file is opened in a newer version of Excel. Learn more: https://go.microsoft.com/fwlink/?linkid=870924
Comment:
    Counts if the values are greater than zero - can't have more than four filled out</t>
      </text>
    </comment>
    <comment ref="E10" authorId="1" shapeId="0" xr:uid="{FBAB8B35-0E61-413D-A43F-1D413710EF5C}">
      <text>
        <t>[Threaded comment]
Your version of Excel allows you to read this threaded comment; however, any edits to it will get removed if the file is opened in a newer version of Excel. Learn more: https://go.microsoft.com/fwlink/?linkid=870924
Comment:
    Counts blanks</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<sst xmlns="http://schemas.openxmlformats.org/spreadsheetml/2006/main" count="1059" uniqueCount="432">
  <si>
    <t>Land Use</t>
  </si>
  <si>
    <t>Zone District</t>
  </si>
  <si>
    <t>Lighting Zone</t>
  </si>
  <si>
    <t>Lumens</t>
  </si>
  <si>
    <t>Quantity</t>
  </si>
  <si>
    <t>square feet</t>
  </si>
  <si>
    <t>Total Lumens</t>
  </si>
  <si>
    <t>lumens</t>
  </si>
  <si>
    <t>spaces</t>
  </si>
  <si>
    <t>Specified CCT</t>
  </si>
  <si>
    <t>PASS/ FAIL</t>
  </si>
  <si>
    <t>Passoword</t>
  </si>
  <si>
    <t>Trespass Limit (fc)</t>
  </si>
  <si>
    <t>Luminaire Type</t>
  </si>
  <si>
    <t>Mounting Height Limit (ft)</t>
  </si>
  <si>
    <t>LZ0</t>
  </si>
  <si>
    <t>LZ1</t>
  </si>
  <si>
    <t>LZ2</t>
  </si>
  <si>
    <t>LZ3</t>
  </si>
  <si>
    <t>OS</t>
  </si>
  <si>
    <t>WP</t>
  </si>
  <si>
    <t>Hallam Bluff</t>
  </si>
  <si>
    <t>Stream Margin</t>
  </si>
  <si>
    <t>C</t>
  </si>
  <si>
    <t>R-3</t>
  </si>
  <si>
    <t>AH</t>
  </si>
  <si>
    <t>R/MF</t>
  </si>
  <si>
    <t>R/MFA</t>
  </si>
  <si>
    <t>R-6</t>
  </si>
  <si>
    <t>R-15</t>
  </si>
  <si>
    <t>R-15B</t>
  </si>
  <si>
    <t>R-30</t>
  </si>
  <si>
    <t>RR</t>
  </si>
  <si>
    <t>L</t>
  </si>
  <si>
    <t>CL</t>
  </si>
  <si>
    <t>CC</t>
  </si>
  <si>
    <t>C-1</t>
  </si>
  <si>
    <t>SCI</t>
  </si>
  <si>
    <t>NC</t>
  </si>
  <si>
    <t>MU</t>
  </si>
  <si>
    <t>SKI</t>
  </si>
  <si>
    <t>P</t>
  </si>
  <si>
    <t>PUB</t>
  </si>
  <si>
    <t>High Density Residential</t>
  </si>
  <si>
    <t>Affordable Housing</t>
  </si>
  <si>
    <t>Residential / Multifamily</t>
  </si>
  <si>
    <t>Medium Density Residential</t>
  </si>
  <si>
    <t>Moderate Density Residential</t>
  </si>
  <si>
    <t>Low Density Residential</t>
  </si>
  <si>
    <t>Rural Residential</t>
  </si>
  <si>
    <t>Lodge</t>
  </si>
  <si>
    <t>Commercial Lodge</t>
  </si>
  <si>
    <t>Commercial Core</t>
  </si>
  <si>
    <t>Commercial</t>
  </si>
  <si>
    <t>Service Commercial Industrial</t>
  </si>
  <si>
    <t>Neighborhood Commercial</t>
  </si>
  <si>
    <t>Mixed Use</t>
  </si>
  <si>
    <t>Ski Area Base</t>
  </si>
  <si>
    <t>Conservation</t>
  </si>
  <si>
    <t>Park</t>
  </si>
  <si>
    <t>A</t>
  </si>
  <si>
    <t>Academic</t>
  </si>
  <si>
    <t>Public</t>
  </si>
  <si>
    <t>Open Space</t>
  </si>
  <si>
    <t>Wildlife Preservation</t>
  </si>
  <si>
    <t>Environmentally Sensitive Area</t>
  </si>
  <si>
    <t>26.575.150.020 Lighting Zone Planning, Cross-Reference and Establishment part (e) Designations</t>
  </si>
  <si>
    <t>Lot Size (sf)</t>
  </si>
  <si>
    <t>Gross Lot Area (sf)</t>
  </si>
  <si>
    <t>Units</t>
  </si>
  <si>
    <t>Errors</t>
  </si>
  <si>
    <t>Aspen</t>
  </si>
  <si>
    <t>No</t>
  </si>
  <si>
    <t>Shielded directional floodlight</t>
  </si>
  <si>
    <t xml:space="preserve">Table 1: Property Line Vertical Light Trespass: Illuminance Limits. Measured in footcandles. </t>
  </si>
  <si>
    <t>Table 2: Total Site Lumens Allowed: Residential Uses. Measured in lumens</t>
  </si>
  <si>
    <t>Table 3 – Maximum Unshielded and Partially Shielded Luminaire Lumens. Measured in lumens.</t>
  </si>
  <si>
    <t>26.512.070 - Residential Lighting, Section (c) - Additional Allowances</t>
  </si>
  <si>
    <t>Lighting Context Area</t>
  </si>
  <si>
    <t>AH-PD</t>
  </si>
  <si>
    <t>Affordable Housing - PD</t>
  </si>
  <si>
    <t>R-15A</t>
  </si>
  <si>
    <t>Legend:</t>
  </si>
  <si>
    <t>COA input cell.</t>
  </si>
  <si>
    <t>Project Address:</t>
  </si>
  <si>
    <t>Permit Number:</t>
  </si>
  <si>
    <t>Relevant Sheet Number(s):</t>
  </si>
  <si>
    <t>Use this tab for residential projects - single family, duplex, multi-family, and residential portions of mixed use buildings.</t>
  </si>
  <si>
    <t>Pass/Fail:</t>
  </si>
  <si>
    <t>footcandles</t>
  </si>
  <si>
    <t>Kelvin</t>
  </si>
  <si>
    <t>Output cell - does not meet criteria</t>
  </si>
  <si>
    <t>Output cell - meets criteria</t>
  </si>
  <si>
    <t>Partially shielded decorative</t>
  </si>
  <si>
    <t>Total additional allowed lumens</t>
  </si>
  <si>
    <t>Allowed CCT Range</t>
  </si>
  <si>
    <t>2700-3000</t>
  </si>
  <si>
    <t>Use of Parcel</t>
  </si>
  <si>
    <t>Fail Reason</t>
  </si>
  <si>
    <t>Formula</t>
  </si>
  <si>
    <t>Lumens exceed parcel allowance</t>
  </si>
  <si>
    <t>Unshielded/Partially Shielded more than 20% of total lumen allowance</t>
  </si>
  <si>
    <t>CCT too high</t>
  </si>
  <si>
    <t>CCT too low</t>
  </si>
  <si>
    <t>Light trespass exceeds limit</t>
  </si>
  <si>
    <t>Reason(s) for Fail:</t>
  </si>
  <si>
    <t>Contact Information for questions:</t>
  </si>
  <si>
    <t>Submit this calculator in excel format as part of the permit submission.</t>
  </si>
  <si>
    <t>Multi-family in MU</t>
  </si>
  <si>
    <t>sf/duplex, &gt;1 acre, more than 1 dwelling unit</t>
  </si>
  <si>
    <t>per additional dwelling unit</t>
  </si>
  <si>
    <t>mfr in mfr</t>
  </si>
  <si>
    <t>surface parking space</t>
  </si>
  <si>
    <t>additional allowance calculations</t>
  </si>
  <si>
    <t>Single Family</t>
  </si>
  <si>
    <t>lot size</t>
  </si>
  <si>
    <t>LZ1 base allowance</t>
  </si>
  <si>
    <t>LZ2 base allowance</t>
  </si>
  <si>
    <t>Total lumen allowance</t>
  </si>
  <si>
    <t>Total proposed  lumens</t>
  </si>
  <si>
    <t>Unit</t>
  </si>
  <si>
    <t>PASS/FAIL</t>
  </si>
  <si>
    <t>Notes</t>
  </si>
  <si>
    <t>Data</t>
  </si>
  <si>
    <t>Description</t>
  </si>
  <si>
    <r>
      <t xml:space="preserve">BUG Ratings: </t>
    </r>
    <r>
      <rPr>
        <sz val="11"/>
        <color theme="1"/>
        <rFont val="Calibri"/>
        <family val="2"/>
        <scheme val="minor"/>
      </rPr>
      <t>Backlit</t>
    </r>
  </si>
  <si>
    <t>BUG Ratings: Uplight</t>
  </si>
  <si>
    <t>BUG Ratings: Glare</t>
  </si>
  <si>
    <t>Proposed percentage unshielded/partially shielded lumens of total lumen allowance</t>
  </si>
  <si>
    <t>Parcel</t>
  </si>
  <si>
    <t>Fully shielded</t>
  </si>
  <si>
    <t>Fixture Type</t>
  </si>
  <si>
    <t>Mounting Height Required for partially and unshielded fixtures</t>
  </si>
  <si>
    <t>Tree and landscape</t>
  </si>
  <si>
    <t>26.512.070.e.1</t>
  </si>
  <si>
    <t>26.512.070.e.2</t>
  </si>
  <si>
    <t>prohibited within residential zones for residential use</t>
  </si>
  <si>
    <t>only allowed for MFR common areas</t>
  </si>
  <si>
    <t>Mounting Height Limit by Mounting Type/Application</t>
  </si>
  <si>
    <t>Bollard, pathway, post-top</t>
  </si>
  <si>
    <t>26.512.060.a.3.b</t>
  </si>
  <si>
    <t>26.512.060.a.3.a</t>
  </si>
  <si>
    <t>26.512.070.f.1, 26.512.060.a.3.b</t>
  </si>
  <si>
    <t>Pathways, exterior stairs, steps</t>
  </si>
  <si>
    <t>26.512.070.f.4</t>
  </si>
  <si>
    <t>Low Voltage Luminaire (unshielded or partially shielded)</t>
  </si>
  <si>
    <t>In-grade uplight (unshielded)</t>
  </si>
  <si>
    <t xml:space="preserve">Code </t>
  </si>
  <si>
    <t>Mounting Type Fixture/Application</t>
  </si>
  <si>
    <t>Pole-mounted (only allowed within MFR common areas)</t>
  </si>
  <si>
    <t>Perimeter fence (prohibited within residential zones for residential use)</t>
  </si>
  <si>
    <t>Site and retaining walls (only allowed within MFR common areas)</t>
  </si>
  <si>
    <t>Proposed Mounting Height (ft)</t>
  </si>
  <si>
    <t>Maximum Mounting Height (ft)</t>
  </si>
  <si>
    <t>Meets mounting height?</t>
  </si>
  <si>
    <t>Mixed-Use</t>
  </si>
  <si>
    <t>Multi-Family,</t>
  </si>
  <si>
    <t>Duplex</t>
  </si>
  <si>
    <t>Driveway and parking lot lighting must be fully shielded, unless MFR use</t>
  </si>
  <si>
    <t>Maximum Calculated Light Trespass*</t>
  </si>
  <si>
    <t>Required applicant input cell.</t>
  </si>
  <si>
    <t>Optional applicant input cell - use as needed to show compliance</t>
  </si>
  <si>
    <t xml:space="preserve">Input BUG Ratings if available. </t>
  </si>
  <si>
    <t>Fixture Label (as shown on lighting plan)</t>
  </si>
  <si>
    <t>Total proposed unshielded/partially shielded lumens</t>
  </si>
  <si>
    <t>must be 20% or less of total parcel allowance</t>
  </si>
  <si>
    <t>Proposed Surface Parking Spaces (only required if use is Multi-Family Residential)</t>
  </si>
  <si>
    <t>Scope</t>
  </si>
  <si>
    <t>Scenarios</t>
  </si>
  <si>
    <t>One-for-one replacement - no permit required</t>
  </si>
  <si>
    <t>Permit required - total lumens of replaced/added fixtures &lt;40% of total site lumen allowance</t>
  </si>
  <si>
    <t>Permit required - total lumens of replaced/added fixtures &gt;40% of total site lumen allowance</t>
  </si>
  <si>
    <t>Scope triggers entire property into compliance?</t>
  </si>
  <si>
    <t>Yes</t>
  </si>
  <si>
    <t>whole site compliance?</t>
  </si>
  <si>
    <t>IEBC Alteration Level 3+</t>
  </si>
  <si>
    <t>Re-zoning or change of use</t>
  </si>
  <si>
    <t>New development (per 26.104.100)</t>
  </si>
  <si>
    <t>Redevelopment of property (per 26.104.100)</t>
  </si>
  <si>
    <t>other colors</t>
  </si>
  <si>
    <t>locked cell - calculation or static information.</t>
  </si>
  <si>
    <t xml:space="preserve">This tool is generally not required when replacing an existing fixture with a fully shielded fixture. </t>
  </si>
  <si>
    <t>Fixture to remain?</t>
  </si>
  <si>
    <t>Table 1: Parcel Information</t>
  </si>
  <si>
    <t>All fixtures and bulbs must have an efficacy of 45 lumens/Watt or higher. Fixtures with LED bulbs installed generally meet this regulation; the applicant is responsible for ensuring that the LED bulb meets the efficacy regulation. If a non-LED is proposed, reach out to comdevzoning@aspen.gov.</t>
  </si>
  <si>
    <t xml:space="preserve">if the scope does not trigger the entire property into compliance, only new and replaced fixtures need to comply with the adopted regulations. Non-conformities cannot be increased - the proposed lumens on the site must decrease (or conform), the percentage of unshielded/partially shielded fixtures must decrease (or conform), and any new or replaced fixtures must conform with shielding requirements. If the proposal decreases the non-conformity but does not eliminate it, this table must be filled out. </t>
  </si>
  <si>
    <t>Proposed</t>
  </si>
  <si>
    <t>Existing to Remain</t>
  </si>
  <si>
    <t>Meets max fixture lumen allowace?</t>
  </si>
  <si>
    <t>PASS/ FAIL/EXISTING TO REMAIN</t>
  </si>
  <si>
    <t>Fixture to remain list</t>
  </si>
  <si>
    <t>*Light trespass and curfew regulations are in effect as of 12/14/2023. The site must be in compliance, regardless of scope of work. Maximum light trespass calculation required as part of submission when whole-site compliance is triggered.</t>
  </si>
  <si>
    <t>Maximum Light Trespass Allowed</t>
  </si>
  <si>
    <t>Within 10' of Stream Margin or Hallam Bluff? If yes, seasonal lights on property count towards total lumen allowance.</t>
  </si>
  <si>
    <t>Seasonal Lighting - only necessary if within 10' of Stream Margin/Hallam Bluff</t>
  </si>
  <si>
    <t>Proposed/Existing</t>
  </si>
  <si>
    <t xml:space="preserve">Residential Projects - Prescriptive Method
Outdoor Lighting Code Compliance Calculator
</t>
  </si>
  <si>
    <t>Note: if the scope does not trigger the entire property into compliance, the proposal may fail for total compliance. Only new and replaced fixtures need to comply with the adopted regulations. Non-conformities cannot be increased - the proposed lumens on the site must decrease (or conform), the percentage of unshielded/partially shielded fixtures must decrease (or conform), and any new or replaced fixtures must conform with shielding requirements.</t>
  </si>
  <si>
    <t>Application</t>
  </si>
  <si>
    <t>26.512.080 - Non-Residential Lighting, Section (e) (3)</t>
  </si>
  <si>
    <t>Mounting Height Limit - (ft)</t>
  </si>
  <si>
    <t>Height Limit - Adjacent to Residential (ft)</t>
  </si>
  <si>
    <t>Other</t>
  </si>
  <si>
    <t>Table 5 – Maximum Unshielded and Partially Shielded Luminaire Lumens Per Fixture. Measured in lumens.</t>
  </si>
  <si>
    <t>Table 4 – Site Lumen Allowances: Non-Residential/Commercial Uses. Measured in lumens.</t>
  </si>
  <si>
    <t>each</t>
  </si>
  <si>
    <t>space</t>
  </si>
  <si>
    <t>pump</t>
  </si>
  <si>
    <t>Use this tab for non-residential projects - commercial uses</t>
  </si>
  <si>
    <t>square foot of outdoor dining area</t>
  </si>
  <si>
    <t>square feet of illuminated façade</t>
  </si>
  <si>
    <t>Allowance Type</t>
  </si>
  <si>
    <t>Instructions: Fill in yellow input cells. A maximum of four types of allowance are allowed for the entire parcel.</t>
  </si>
  <si>
    <t>Proposed/Existing?</t>
  </si>
  <si>
    <t>Calculated Allowance</t>
  </si>
  <si>
    <t>Number of Type</t>
  </si>
  <si>
    <t>Total Proposed Lumens</t>
  </si>
  <si>
    <t>Total base lumen allowance</t>
  </si>
  <si>
    <t>Total proposed unshielded or partially shielded lumens</t>
  </si>
  <si>
    <t>Maximum Mounting Height</t>
  </si>
  <si>
    <t>Proposed Mounting Height</t>
  </si>
  <si>
    <t>Site Lumen Allowance Type</t>
  </si>
  <si>
    <t>Nighttime Service Loading</t>
  </si>
  <si>
    <t>Surface parking</t>
  </si>
  <si>
    <t>Gas Station Canopy</t>
  </si>
  <si>
    <t>Outdoor Dining</t>
  </si>
  <si>
    <t>Residential</t>
  </si>
  <si>
    <t>Building Facade</t>
  </si>
  <si>
    <t>DATA</t>
  </si>
  <si>
    <t>Only four allowances can be used - counts zeros</t>
  </si>
  <si>
    <t>Only four allowances can be used - counts blanks</t>
  </si>
  <si>
    <t>Only four allowances can be used - combined</t>
  </si>
  <si>
    <t>Building Entrance(s)</t>
  </si>
  <si>
    <t>This allowance is per door. Fixtures must be within 20' of the door.</t>
  </si>
  <si>
    <t>Additional Information</t>
  </si>
  <si>
    <t>This allowance is per service loading door. To use this allowance, fixtures must be within 20' of the door.</t>
  </si>
  <si>
    <t>This allowance is per parking space. To use this allowance, fixtures must be within 20' from finished grade of the parking space(s).</t>
  </si>
  <si>
    <t>This allowance is lumens per installed fuel pump. Each side of a two-sided pump qualifies for an allowance.</t>
  </si>
  <si>
    <t>This allowance is lumens per illuminated hardscape for outdoor dining. To use this allowance, luminaires must be within 6' of the hardscape area of outdoor dining.</t>
  </si>
  <si>
    <t>Code</t>
  </si>
  <si>
    <t>This allowance is lumens per square foot of building facade that is illuminated.  To use this allowance, fixtures shall be aimed at the facade and capable of illuminating it without obstruction. Only building façade that is to be illuminated is included in the square footage. In mixed-use buildings, facade lighting is not allowed above floors with residential dwelling units.</t>
  </si>
  <si>
    <t>26.512.080.e.1</t>
  </si>
  <si>
    <t>Pathways, Exterior Stairs, and Steps</t>
  </si>
  <si>
    <t>26.512.080.e.3</t>
  </si>
  <si>
    <t>26.512.060.a.3</t>
  </si>
  <si>
    <t>Does not apply</t>
  </si>
  <si>
    <t>PASS/FAIL/EXISTING TO REMAIN</t>
  </si>
  <si>
    <t>Column1</t>
  </si>
  <si>
    <t>The parcel must be under the lumen allowance for every application type.</t>
  </si>
  <si>
    <t>used for figuring out formulas</t>
  </si>
  <si>
    <t>cct too high</t>
  </si>
  <si>
    <t>cct too low</t>
  </si>
  <si>
    <t>A PROPOSED luminaire is failing</t>
  </si>
  <si>
    <t>CCT TOO HIGH</t>
  </si>
  <si>
    <t xml:space="preserve"> CCT TOO LOW</t>
  </si>
  <si>
    <t>Low Voltage fixture (unshielded or partially shielded)</t>
  </si>
  <si>
    <t>Total Dwelling Units on Parcel</t>
  </si>
  <si>
    <t>Parcel Pass/Fail:</t>
  </si>
  <si>
    <t>Note: if the scope does not trigger the entire property into compliance, only new and replaced fixtures need to comply with the adopted regulations. If the proposal decreases the non-conformity but does not eliminate it, Table 4: Existing Site Analysis, must be filled out. Non-conformities cannot be increased - the proposed lumens on the site must decrease (or conform), the percentage of unshielded/partially shielded fixtures must decrease (or conform), and any new or replaced fixtures must conform with shielding requirements.</t>
  </si>
  <si>
    <t>Correlated Color Temperature (CCT)</t>
  </si>
  <si>
    <t>a quantitative measure of artificial light’s ability to render an object’s natural color.</t>
  </si>
  <si>
    <t>Light trespass</t>
  </si>
  <si>
    <t>measurable light extending past the property line without permission, causing annoyance, loss of privacy, or other nuisances.</t>
  </si>
  <si>
    <t>Lumen</t>
  </si>
  <si>
    <t>measure of visible light emitted from a light source.</t>
  </si>
  <si>
    <t>Lux</t>
  </si>
  <si>
    <t>measures illuminance - the density of light falling onto a surface. One lux equals one lumen per square meter.</t>
  </si>
  <si>
    <t>Fully shielded fixture</t>
  </si>
  <si>
    <t>Partially shielded fixture</t>
  </si>
  <si>
    <t>Unshielded/non-shielded fixture</t>
  </si>
  <si>
    <t>has a solid barrier at the top of the fixture in which the bulb is located. The bulb is not visible below the barrier; no light is visible at or above the horizonal angle.</t>
  </si>
  <si>
    <t xml:space="preserve">has an opaque top and translucent or perforated sides, designed to emit most light downwards. Up to 5% of the light distribution may be at or above the horizontal angle. </t>
  </si>
  <si>
    <t xml:space="preserve">has no shielding to prevent light emission above the horizontal. </t>
  </si>
  <si>
    <t xml:space="preserve">All regulations are laid out in 26.512 - Outdoor Lighting. </t>
  </si>
  <si>
    <t>Maximum Calculated Light Trespass**</t>
  </si>
  <si>
    <t>**Light trespass and curfew regulations are in effect as of 12/14/2023. The site must be in compliance, regardless of scope of work. Maximum light trespass calculation required as part of submission when whole-site compliance is triggered.</t>
  </si>
  <si>
    <t>Allowed CCT Range*</t>
  </si>
  <si>
    <t>** A CCT of 2200K or lower is allowed for non-commercial uses provided the Color Rendering Index (CRI) is greater than 65. Speak with zoning staff if this is proposed.</t>
  </si>
  <si>
    <t>Commercial Use - utilize Non-residential Compliance Calculator Tab,</t>
  </si>
  <si>
    <t>A PROPOSED fixture is failing</t>
  </si>
  <si>
    <t>A fixture is failing - reference Project Information,</t>
  </si>
  <si>
    <t>If the scope triggers the site into whole parcel compliance, all fixtures must pass (regardless of if they are existing or proposed)</t>
  </si>
  <si>
    <t>CCT too low?</t>
  </si>
  <si>
    <t>Perimeter fence lighting is prohibited within residential zones for residential use.</t>
  </si>
  <si>
    <t>Only Four Allowance Types Can Be Used,</t>
  </si>
  <si>
    <t>Calculated Lumen Allowance</t>
  </si>
  <si>
    <t>For Historic Landmark Structures, HPC may vary lighting types as appropriate to the building but shall not increase the total site lumen amount for the property.</t>
  </si>
  <si>
    <t>Site/retaining wall - only allowed within common areas</t>
  </si>
  <si>
    <t>Pole Mounted - Parking Lot adjacent to a residential use. Must be fully shielded.</t>
  </si>
  <si>
    <t>Pole Mounted - Parking Lot not adjacent to a residential use. Must be fully shielded.</t>
  </si>
  <si>
    <t>Building Mounted for driveways and parking. Must be fully shielded.</t>
  </si>
  <si>
    <t>Driveway and parking lot lighting - building or pole mounted. Must be fully shielded.</t>
  </si>
  <si>
    <t>Driveway and parking lot lighting must be fully shielded. Lighting used to illuminate patios, above grade decks, balconies, or gazebos must be fully shielded. Motion sensor lights must be fully shielded and aimed no higher than 70 degrees from below the horizon.</t>
  </si>
  <si>
    <t>Art, monuments, and fountain features may be illuminated if they are within 10 horizontal feet of a structure</t>
  </si>
  <si>
    <t>Outdoor televisions may be allowed so long as the screen is directed inwards and is not visible from any property line.</t>
  </si>
  <si>
    <t>lumen allowance changes based off of allowance types chosen.</t>
  </si>
  <si>
    <t>Festoon lighting is allowed over patios, decks, pedestrian plazas, outdoor dining, and other pedestrian walkways where permanent, decorative lighting would be beneficial. Not to be used to wrap trees or define architectural feature</t>
  </si>
  <si>
    <t>Tree and landscape lighting</t>
  </si>
  <si>
    <t>Outdoor televisions</t>
  </si>
  <si>
    <t>Seasonal lighting involved with an ESA</t>
  </si>
  <si>
    <t>Festoon</t>
  </si>
  <si>
    <r>
      <t xml:space="preserve">(a)    </t>
    </r>
    <r>
      <rPr>
        <i/>
        <sz val="12"/>
        <color rgb="FF000000"/>
        <rFont val="Arial"/>
        <family val="2"/>
      </rPr>
      <t>Prohibitions.</t>
    </r>
    <r>
      <rPr>
        <sz val="12"/>
        <color rgb="FF000000"/>
        <rFont val="Arial"/>
        <family val="2"/>
      </rPr>
      <t xml:space="preserve"> The following types of exterior lighting sources, luminaires and installations, and those interior lighting sources, luminaires, and installations that can be seen directly from the exterior by the public or are causing light trespass or direct glare into any property or public right-of-way, shall be prohibited in the City of Aspen. </t>
    </r>
  </si>
  <si>
    <t>(1)    Non-shielded and partially shielded fixtures unless identified as allowed in Tables 3 and 5.</t>
  </si>
  <si>
    <t xml:space="preserve">(2)    Mercury vapor lighting. </t>
  </si>
  <si>
    <t>(3)    Inefficient lamps or LED luminaires (those with an efficacy of less than 45 lumens per watt) shall be prohibited for outdoor use.</t>
  </si>
  <si>
    <r>
      <t xml:space="preserve">(4)    Blinking, flashing, moving, revolving, scintillating, flickering, changing intensity, and changing color lights. This prohibition does not apply to Section </t>
    </r>
    <r>
      <rPr>
        <sz val="12"/>
        <color rgb="FF000000"/>
        <rFont val="Arial"/>
        <family val="2"/>
      </rPr>
      <t xml:space="preserve">26.512.110(f) - </t>
    </r>
    <r>
      <rPr>
        <sz val="12"/>
        <color theme="1"/>
        <rFont val="Arial"/>
        <family val="2"/>
      </rPr>
      <t xml:space="preserve">Seasonal Lighting. </t>
    </r>
  </si>
  <si>
    <t>(5)    Neon lighting and LED strips simulating the appearance of neon are both prohibited. This includes its usage for the outlining of buildings and for signage.</t>
  </si>
  <si>
    <t>(6)    Non-shielded floodlights are prohibited. Fully shielded floodlights are subject to the lumen maximums in Tables 3 and 5. For motion sensor lights see Section 26.512.100(a) – Security.</t>
  </si>
  <si>
    <r>
      <t xml:space="preserve">(7)    </t>
    </r>
    <r>
      <rPr>
        <sz val="12"/>
        <color theme="1"/>
        <rFont val="Arial"/>
        <family val="2"/>
      </rPr>
      <t>Lighting directed towards the Roaring Fork River and its tributary streams or Hallam Lake is prohibited</t>
    </r>
    <r>
      <rPr>
        <sz val="12"/>
        <color rgb="FF000000"/>
        <rFont val="Arial"/>
        <family val="2"/>
      </rPr>
      <t xml:space="preserve"> per Chapter 26.435 – Development in Environmentally Sensitive Areas (ESA).</t>
    </r>
  </si>
  <si>
    <t xml:space="preserve">(8)    No outdoor lighting shall be used in any manner that could interfere with the safe movement of motor vehicles on public thoroughfares. The following is prohibited: </t>
  </si>
  <si>
    <t>a.      Any permanent light source not intended for roadway illumination that still produces direct light or glare onto a roadway that could be disturbing to the operator of a motor vehicle (e.g., pedestrian architectural lighting, landscape lighting).</t>
  </si>
  <si>
    <r>
      <t xml:space="preserve">b.      </t>
    </r>
    <r>
      <rPr>
        <sz val="12"/>
        <color rgb="FF000000"/>
        <rFont val="Arial"/>
        <family val="2"/>
      </rPr>
      <t>Any light that may be confused with or construed as a traffic control device except as authorized by State, Federal or City government</t>
    </r>
    <r>
      <rPr>
        <sz val="12"/>
        <color theme="1"/>
        <rFont val="Arial"/>
        <family val="2"/>
      </rPr>
      <t xml:space="preserve">. </t>
    </r>
  </si>
  <si>
    <t>(9)    Aerial lasers, beacons, and searchlights are prohibited except for emergency use.</t>
  </si>
  <si>
    <t>Total existing unshielded or partially shielded lumens</t>
  </si>
  <si>
    <t>Existing percentage unshielded/partially shielded lumens of total lumen allowance</t>
  </si>
  <si>
    <t>Total Existing Lumens</t>
  </si>
  <si>
    <t>Table 2a: Proposed Project Information</t>
  </si>
  <si>
    <t>Table 2b: Proposed Parcel Analysis</t>
  </si>
  <si>
    <t>Table 3a: Existing Project Information</t>
  </si>
  <si>
    <t>Table 3b: Existing Parcel Analysis</t>
  </si>
  <si>
    <t>Table 1a: Parcel Information</t>
  </si>
  <si>
    <t>Table 1b: Lighting Allowance Calculation</t>
  </si>
  <si>
    <t>Table 2b: Proposed Parcel Analysis - Partially/Unshielded Regulations</t>
  </si>
  <si>
    <t>Table 2c: Proposed Parcel Analysis - Lumen Allowance by Application Type</t>
  </si>
  <si>
    <t>Table 3c: Existing Parcel Analysis - Lumen Allowance by Application Type</t>
  </si>
  <si>
    <t>Fill out Tables 1a and 1b</t>
  </si>
  <si>
    <t>Fill out proposed project information - Tables 2a-c. This should include all fixtures that will be on the parcel at final inspection. Include any fixtures that are to remain as well as any new/replaced fixtures.</t>
  </si>
  <si>
    <t>Total existing unshielded/partially shielded lumens</t>
  </si>
  <si>
    <t>Total existing  lumens</t>
  </si>
  <si>
    <t>Reviewed by (staff name):</t>
  </si>
  <si>
    <t>Instructions: fill out yellow fields. Each different fixture type needs its own line. Please utilize drop down menus when applicable. If a fixture does not fit into a "mounting type fixture/application", choose "other".  Reach out to comdevzoning@aspen.gov if more than 10 fixture types are proposed.</t>
  </si>
  <si>
    <t>Instructions: fill out yellow fields. Each different fixture type needs its own line. Please utilize drop down menus when applicable. If a fixture does not fit into a "mounting type fixture/application", choose "other". Reach out to comdevzoning@aspen.gov if more than 10 fixture types are proposed.</t>
  </si>
  <si>
    <t>The outdoor lighting allowance is calculated for an entire parcel. All tables should be filled out for the parcel. For example, if there are three businesses on a single parcel the exterior lighting for all three businesses needs to be included.</t>
  </si>
  <si>
    <t xml:space="preserve">Fixture Type </t>
  </si>
  <si>
    <t>Please choose from dropdown</t>
  </si>
  <si>
    <t>Options for dropdown</t>
  </si>
  <si>
    <t>Choose from dropdown</t>
  </si>
  <si>
    <t>More than 40% of lumens proposed - change project scope (C30)</t>
  </si>
  <si>
    <t>Additional Lumens Granted</t>
  </si>
  <si>
    <t>Additional lumen allowance reason + amount</t>
  </si>
  <si>
    <t>sf/duplex, &gt;1 acre, more than 1 dwelling unit - 2000 per additional dwelling unit</t>
  </si>
  <si>
    <t>mfr in mfr - 300 per surface parking space</t>
  </si>
  <si>
    <t>Multi-family in MU - 1000</t>
  </si>
  <si>
    <t>Total</t>
  </si>
  <si>
    <t>Info?</t>
  </si>
  <si>
    <t>Output</t>
  </si>
  <si>
    <t xml:space="preserve"> </t>
  </si>
  <si>
    <t xml:space="preserve">                           </t>
  </si>
  <si>
    <t>Maximum Unshielded and Partially Shielded Luminaire Lumens - Residential</t>
  </si>
  <si>
    <t>Low Voltage Luminaire</t>
  </si>
  <si>
    <t>In-grade Uplight</t>
  </si>
  <si>
    <t>Shielded Directional Floodlight</t>
  </si>
  <si>
    <t>Partially Shielded Decorative</t>
  </si>
  <si>
    <t>Unshielded / Partially</t>
  </si>
  <si>
    <t>Mounting Type Fixture/Application2</t>
  </si>
  <si>
    <t>Lumen allowance by application type incorrect</t>
  </si>
  <si>
    <t>percent</t>
  </si>
  <si>
    <t>Table 3a: Current / Existing Parcel Information</t>
  </si>
  <si>
    <t>Parcel increases non-conformity</t>
  </si>
  <si>
    <t xml:space="preserve">If the scope does not trigger the entire property into compliance, only new and replaced fixtures need to comply with the adopted regulations. Non-conformities cannot be increased - the proposed lumens on the site must decrease (or conform), the percentage of unshielded/partially shielded fixtures must decrease (or conform), and any new or replaced fixtures must conform with shielding requirements. If the proposal decreases the non-conformity but does not eliminate it, this table must be filled out. </t>
  </si>
  <si>
    <t>Please fill out the following table with the current lighting information for the parcel to evaluate whether the proposed lighting plan decreases non-conforming aspects of the current lighting in the 3 categories listed in Table 3b: Existing Parcel Analysis.</t>
  </si>
  <si>
    <t>Entrances / Porte Cocheres</t>
  </si>
  <si>
    <t>Documentation:</t>
  </si>
  <si>
    <t xml:space="preserve">Unshielded / Partially </t>
  </si>
  <si>
    <t>Lumen allowance</t>
  </si>
  <si>
    <t>Only relevant to unshielded and based on lighting zone</t>
  </si>
  <si>
    <t>Art, monuments, fountains</t>
  </si>
  <si>
    <t>If partially shielded or unshielded luminaire, only allowed when used for trees/landscaping, walls in MF, driveway in MF, pathways/stairs /steps, art/monuments.</t>
  </si>
  <si>
    <t>Mounting Type / Application</t>
  </si>
  <si>
    <t>Façade Lighting</t>
  </si>
  <si>
    <t>Entrances and Porte Cocheres</t>
  </si>
  <si>
    <t>Unshielded?</t>
  </si>
  <si>
    <t xml:space="preserve">Art, monuments, fountain </t>
  </si>
  <si>
    <t>The outdoor lighting allowance is calculated for an entire parcel. Include all exterior lights on the parcel when filling  out tables. For example, if there is a duplex on the parcel the exterior lighting for both dwelling units and any site/landscape lighting needs to be included.</t>
  </si>
  <si>
    <t>Other Allowed Type of Lighting</t>
  </si>
  <si>
    <t>Existing Parcel Analysis</t>
  </si>
  <si>
    <t>Proposed Parcel Analysis</t>
  </si>
  <si>
    <t xml:space="preserve">If the scope does not trigger the entire property into compliance, only new and replaced fixtures need to comply with the adopted regulations. Non-conformities cannot be increased - the proposed lumens on the site must decrease (or conform), the percentage of unshielded/partially shielded fixtures must decrease (or conform), and any new or replaced fixtures must conform with shielding requirements. </t>
  </si>
  <si>
    <t>Festoon Lighting. Must be fully or partially shielded.</t>
  </si>
  <si>
    <t>Festoon lighting. Must be fully or partially shielded.</t>
  </si>
  <si>
    <t>Total lumens</t>
  </si>
  <si>
    <t>New Fixture 1</t>
  </si>
  <si>
    <t>New Fixture 2</t>
  </si>
  <si>
    <t>Remaining Fixture 1</t>
  </si>
  <si>
    <t>Remaining Fixture 2</t>
  </si>
  <si>
    <t>Mounting Height (ft)</t>
  </si>
  <si>
    <t>Removing Fixture 1</t>
  </si>
  <si>
    <t>Removing Fixture 2</t>
  </si>
  <si>
    <t>FAIL</t>
  </si>
  <si>
    <t>Lumens Exceed Parcel Allowance</t>
  </si>
  <si>
    <t>Remaining Light 1 - Entrance</t>
  </si>
  <si>
    <t>Remaining Light 2 - Loading</t>
  </si>
  <si>
    <t>New Light 1 - Façade</t>
  </si>
  <si>
    <t>New Light 2 - Walkway</t>
  </si>
  <si>
    <t>PASS</t>
  </si>
  <si>
    <t>New Light 3 - Parking spots</t>
  </si>
  <si>
    <t>Removing Light 1</t>
  </si>
  <si>
    <t>Removing Light 2</t>
  </si>
  <si>
    <t>Parcel exceeds unshielded lumen percentage.</t>
  </si>
  <si>
    <t>100 Example Dr</t>
  </si>
  <si>
    <t>100 Example St</t>
  </si>
  <si>
    <t>Existing to Remain / To Be Removed</t>
  </si>
  <si>
    <t>If the scope does not trigger the entire property into compliance and the proposed project does not comply, fill out Tables 3a-3c. Please note that all parcels within City limits must comply by December 15, 2028.</t>
  </si>
  <si>
    <t>Rio Anderson - XXX-XXX-XXX - example@example.com</t>
  </si>
  <si>
    <t>Kai Gibson - XXX-XXX-XXXX - example@example.com</t>
  </si>
  <si>
    <t xml:space="preserve"> City of Aspen Lighting Compliance Calculator</t>
  </si>
  <si>
    <t>Helpful Resources:</t>
  </si>
  <si>
    <t>Sheet descriptions:</t>
  </si>
  <si>
    <t>Link to the Outdoor Lighting Code</t>
  </si>
  <si>
    <r>
      <t xml:space="preserve">City of Aspen Land Use Code requires </t>
    </r>
    <r>
      <rPr>
        <u/>
        <sz val="18"/>
        <color theme="1"/>
        <rFont val="Calibri"/>
        <family val="2"/>
        <scheme val="minor"/>
      </rPr>
      <t>ALL</t>
    </r>
    <r>
      <rPr>
        <sz val="18"/>
        <color theme="1"/>
        <rFont val="Calibri"/>
        <family val="2"/>
        <scheme val="minor"/>
      </rPr>
      <t xml:space="preserve"> parcels to comply with the updated exterior lighting code by December 15, 2028. </t>
    </r>
  </si>
  <si>
    <r>
      <rPr>
        <b/>
        <sz val="11"/>
        <color theme="1"/>
        <rFont val="Calibri"/>
        <family val="2"/>
        <scheme val="minor"/>
      </rPr>
      <t>To provide feedback about the calculator:</t>
    </r>
    <r>
      <rPr>
        <sz val="11"/>
        <color theme="1"/>
        <rFont val="Calibri"/>
        <family val="2"/>
        <scheme val="minor"/>
      </rPr>
      <t xml:space="preserve"> comdevzoning@aspen.gov</t>
    </r>
  </si>
  <si>
    <t>Prohibited during hours of curfew:</t>
  </si>
  <si>
    <t>Non-Residential Projects - Prescriptive Method
Outdoor Lighting Code Compliance Calculator</t>
  </si>
  <si>
    <t>The parcel must be under the lumen allowance for every application type. Proposed fixtures not used for any of these applications will not be analyzed in this table.</t>
  </si>
  <si>
    <t>Existing to Remain / Removed?</t>
  </si>
  <si>
    <t>Removed</t>
  </si>
  <si>
    <t>More info needed</t>
  </si>
  <si>
    <t>ACCEPTED</t>
  </si>
  <si>
    <t>Proposed parcel meets code.</t>
  </si>
  <si>
    <r>
      <rPr>
        <b/>
        <u/>
        <sz val="11"/>
        <color theme="4"/>
        <rFont val="Calibri"/>
        <family val="2"/>
        <scheme val="minor"/>
      </rPr>
      <t>Definitions</t>
    </r>
    <r>
      <rPr>
        <b/>
        <sz val="11"/>
        <rFont val="Calibri"/>
        <family val="2"/>
        <scheme val="minor"/>
      </rPr>
      <t xml:space="preserve"> </t>
    </r>
    <r>
      <rPr>
        <sz val="11"/>
        <rFont val="Calibri"/>
        <family val="2"/>
        <scheme val="minor"/>
      </rPr>
      <t>- highlighted definitions for many relevent lighting terms</t>
    </r>
  </si>
  <si>
    <r>
      <rPr>
        <b/>
        <u/>
        <sz val="11"/>
        <color theme="4"/>
        <rFont val="Calibri"/>
        <family val="2"/>
        <scheme val="minor"/>
      </rPr>
      <t>Prohibitions</t>
    </r>
    <r>
      <rPr>
        <sz val="11"/>
        <color theme="1"/>
        <rFont val="Calibri"/>
        <family val="2"/>
        <scheme val="minor"/>
      </rPr>
      <t xml:space="preserve"> -  a list of light fixtures not allowed in the city</t>
    </r>
  </si>
  <si>
    <r>
      <rPr>
        <b/>
        <u/>
        <sz val="11"/>
        <color theme="4"/>
        <rFont val="Calibri"/>
        <family val="2"/>
        <scheme val="minor"/>
      </rPr>
      <t>Res Overview</t>
    </r>
    <r>
      <rPr>
        <sz val="11"/>
        <color theme="1"/>
        <rFont val="Calibri"/>
        <family val="2"/>
        <scheme val="minor"/>
      </rPr>
      <t xml:space="preserve"> - a walkthrough of the Residential Compliance Calculator </t>
    </r>
  </si>
  <si>
    <r>
      <rPr>
        <b/>
        <u/>
        <sz val="11"/>
        <color theme="4"/>
        <rFont val="Calibri"/>
        <family val="2"/>
        <scheme val="minor"/>
      </rPr>
      <t>Res Compliance Calculator</t>
    </r>
    <r>
      <rPr>
        <sz val="11"/>
        <color theme="1"/>
        <rFont val="Calibri"/>
        <family val="2"/>
        <scheme val="minor"/>
      </rPr>
      <t xml:space="preserve"> - the compliance calculator for all residential development</t>
    </r>
  </si>
  <si>
    <r>
      <rPr>
        <b/>
        <u/>
        <sz val="11"/>
        <color theme="4"/>
        <rFont val="Calibri"/>
        <family val="2"/>
        <scheme val="minor"/>
      </rPr>
      <t>NonRes Overview</t>
    </r>
    <r>
      <rPr>
        <sz val="11"/>
        <color theme="1"/>
        <rFont val="Calibri"/>
        <family val="2"/>
        <scheme val="minor"/>
      </rPr>
      <t xml:space="preserve"> - a walkthrough of the Non-Residential Compliance Calculator</t>
    </r>
  </si>
  <si>
    <r>
      <rPr>
        <b/>
        <u/>
        <sz val="11"/>
        <color theme="4"/>
        <rFont val="Calibri"/>
        <family val="2"/>
        <scheme val="minor"/>
      </rPr>
      <t>NonRes Compliance Calculator</t>
    </r>
    <r>
      <rPr>
        <sz val="11"/>
        <color theme="1"/>
        <rFont val="Calibri"/>
        <family val="2"/>
        <scheme val="minor"/>
      </rPr>
      <t xml:space="preserve"> - the compliance calculator for all non-residential development</t>
    </r>
  </si>
  <si>
    <r>
      <rPr>
        <b/>
        <sz val="11"/>
        <color theme="1"/>
        <rFont val="Calibri"/>
        <family val="2"/>
        <scheme val="minor"/>
      </rPr>
      <t>For questions about the code or calculator:</t>
    </r>
    <r>
      <rPr>
        <sz val="11"/>
        <color theme="1"/>
        <rFont val="Calibri"/>
        <family val="2"/>
        <scheme val="minor"/>
      </rPr>
      <t xml:space="preserve"> comdevzoning@aspen.gov</t>
    </r>
  </si>
  <si>
    <t>* A CCT of 2200K or lower is allowed for non-commercial uses provided the Color Rendering Index (CRI) is greater than 65. Speak with zoning staff if this is proposed.                                                                                                                                                  **Light trespass and curfew regulations are in effect as of 12/14/2023. The site must be in compliance, regardless of scope of work. Maximum light trespass calculation required as part of submission when whole-site compliance is triggered.</t>
  </si>
  <si>
    <t>Updated extra allowance for Multifamily for each parking space - no longer limited to just those in RMF or RFMA</t>
  </si>
  <si>
    <t>Columns in Table 2a turn red if they are causing an error</t>
  </si>
  <si>
    <t>.</t>
  </si>
  <si>
    <t>Version 2.1 - 08/19/2025</t>
  </si>
  <si>
    <t>Version 2.1 (08/19/2025)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</si>
</sst>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3" formatCode="_(* #,##0.00_);_(* \(#,##0.00\);_(* &quot;-&quot;??_);_(@_)"/>
    <numFmt numFmtId="164" formatCode="_(* #,##0_);_(* \(#,##0\);_(* &quot;-&quot;??_);_(@_)"/>
    <numFmt numFmtId="165" formatCode="[&lt;=64]General"/>
    <numFmt numFmtId="166" formatCode="&quot;$&quot;#,##0.00"/>
  </numFmts>
  <fonts count="43" x14ac:knownFonts="1">
    <font>
      <sz val="11"/>
      <color theme="1"/>
      <name val="Calibri"/>
      <family val="2"/>
      <scheme val="minor"/>
    </font>
    <font>
      <sz val="10"/>
      <color theme="1"/>
      <name val="Arial"/>
      <family val="2"/>
    </font>
    <font>
      <b/>
      <sz val="10"/>
      <color theme="1"/>
      <name val="Arial"/>
      <family val="2"/>
    </font>
    <font>
      <sz val="8"/>
      <name val="Calibri"/>
      <family val="2"/>
      <scheme val="minor"/>
    </font>
    <font>
      <b/>
      <sz val="11"/>
      <color theme="1"/>
      <name val="Calibri"/>
      <family val="2"/>
      <scheme val="minor"/>
    </font>
    <font>
      <sz val="11"/>
      <color theme="1"/>
      <name val="Calibri"/>
      <family val="2"/>
      <scheme val="minor"/>
    </font>
    <font>
      <sz val="11"/>
      <name val="Calibri"/>
      <family val="2"/>
      <scheme val="minor"/>
    </font>
    <font>
      <strike/>
      <sz val="11"/>
      <color theme="1"/>
      <name val="Calibri"/>
      <family val="2"/>
      <scheme val="minor"/>
    </font>
    <font>
      <b/>
      <sz val="16"/>
      <name val="Arial"/>
      <family val="2"/>
    </font>
    <font>
      <sz val="10"/>
      <name val="Arial"/>
      <family val="2"/>
    </font>
    <font>
      <b/>
      <sz val="14"/>
      <name val="Arial"/>
      <family val="2"/>
    </font>
    <font>
      <b/>
      <sz val="18"/>
      <name val="Arial"/>
      <family val="2"/>
    </font>
    <font>
      <sz val="12"/>
      <name val="Arial"/>
      <family val="2"/>
    </font>
    <font>
      <b/>
      <sz val="12"/>
      <name val="Arial"/>
      <family val="2"/>
    </font>
    <font>
      <sz val="10"/>
      <color rgb="FF000000"/>
      <name val="Arial"/>
      <family val="2"/>
    </font>
    <font>
      <i/>
      <sz val="12"/>
      <name val="Arial"/>
      <family val="2"/>
    </font>
    <font>
      <sz val="14"/>
      <name val="Arial"/>
      <family val="2"/>
    </font>
    <font>
      <sz val="12"/>
      <color theme="1"/>
      <name val="Arial"/>
      <family val="2"/>
    </font>
    <font>
      <u/>
      <sz val="11"/>
      <color theme="10"/>
      <name val="Calibri"/>
      <family val="2"/>
      <scheme val="minor"/>
    </font>
    <font>
      <sz val="11"/>
      <color rgb="FFFF0000"/>
      <name val="Calibri"/>
      <family val="2"/>
      <scheme val="minor"/>
    </font>
    <font>
      <sz val="11"/>
      <color rgb="FF000000"/>
      <name val="Calibri"/>
      <family val="2"/>
      <scheme val="minor"/>
    </font>
    <font>
      <u/>
      <sz val="11"/>
      <color theme="1"/>
      <name val="Arial"/>
      <family val="2"/>
    </font>
    <font>
      <sz val="11"/>
      <color theme="1"/>
      <name val="Arial"/>
      <family val="2"/>
    </font>
    <font>
      <i/>
      <sz val="11"/>
      <color theme="1"/>
      <name val="Calibri"/>
      <family val="2"/>
      <scheme val="minor"/>
    </font>
    <font>
      <sz val="12"/>
      <color rgb="FF000000"/>
      <name val="Arial"/>
      <family val="2"/>
    </font>
    <font>
      <i/>
      <sz val="12"/>
      <color rgb="FF000000"/>
      <name val="Arial"/>
      <family val="2"/>
    </font>
    <font>
      <b/>
      <sz val="12"/>
      <color theme="1"/>
      <name val="Arial"/>
      <family val="2"/>
    </font>
    <font>
      <strike/>
      <sz val="12"/>
      <color theme="1"/>
      <name val="Arial"/>
      <family val="2"/>
    </font>
    <font>
      <sz val="12"/>
      <color theme="4" tint="-0.249977111117893"/>
      <name val="Arial"/>
      <family val="2"/>
    </font>
    <font>
      <sz val="8"/>
      <color rgb="FF1E1E1E"/>
      <name val="Segoe UI"/>
      <family val="2"/>
    </font>
    <font>
      <sz val="11"/>
      <color rgb="FF3F3F76"/>
      <name val="Calibri"/>
      <family val="2"/>
      <scheme val="minor"/>
    </font>
    <font>
      <sz val="22"/>
      <color theme="1"/>
      <name val="Arial"/>
      <family val="2"/>
    </font>
    <font>
      <sz val="7"/>
      <color rgb="FF313335"/>
      <name val="Open Sans"/>
      <family val="2"/>
    </font>
    <font>
      <sz val="7"/>
      <color rgb="FF313335"/>
      <name val="Open Sans"/>
      <family val="2"/>
    </font>
    <font>
      <b/>
      <i/>
      <sz val="11"/>
      <color theme="1"/>
      <name val="Calibri"/>
      <family val="2"/>
      <scheme val="minor"/>
    </font>
    <font>
      <sz val="18"/>
      <color theme="1"/>
      <name val="Calibri"/>
      <family val="2"/>
      <scheme val="minor"/>
    </font>
    <font>
      <b/>
      <sz val="18"/>
      <color theme="1"/>
      <name val="Calibri"/>
      <family val="2"/>
      <scheme val="minor"/>
    </font>
    <font>
      <u/>
      <sz val="18"/>
      <color theme="1"/>
      <name val="Calibri"/>
      <family val="2"/>
      <scheme val="minor"/>
    </font>
    <font>
      <b/>
      <sz val="20"/>
      <name val="Arial"/>
      <family val="2"/>
    </font>
    <font>
      <sz val="20"/>
      <color theme="1"/>
      <name val="Arial"/>
      <family val="2"/>
    </font>
    <font>
      <b/>
      <sz val="22"/>
      <name val="Arial"/>
      <family val="2"/>
    </font>
    <font>
      <b/>
      <sz val="11"/>
      <name val="Calibri"/>
      <family val="2"/>
      <scheme val="minor"/>
    </font>
    <font>
      <b/>
      <u/>
      <sz val="11"/>
      <color theme="4"/>
      <name val="Calibri"/>
      <family val="2"/>
      <scheme val="minor"/>
    </font>
  </fonts>
  <fills count="16">
    <fill>
      <patternFill patternType="none"/>
    </fill>
    <fill>
      <patternFill patternType="gray125"/>
    </fill>
    <fill>
      <patternFill patternType="solid">
        <fgColor theme="6" tint="0.79998168889431442"/>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FFFF00"/>
        <bgColor rgb="FFFFFF99"/>
      </patternFill>
    </fill>
    <fill>
      <patternFill patternType="solid">
        <fgColor rgb="FFFF0000"/>
        <bgColor rgb="FFCCFFCC"/>
      </patternFill>
    </fill>
    <fill>
      <patternFill patternType="solid">
        <fgColor rgb="FF00B050"/>
        <bgColor rgb="FFCCFFCC"/>
      </patternFill>
    </fill>
    <fill>
      <patternFill patternType="solid">
        <fgColor theme="1" tint="4.9989318521683403E-2"/>
        <bgColor indexed="64"/>
      </patternFill>
    </fill>
    <fill>
      <patternFill patternType="solid">
        <fgColor rgb="FFFFFFD5"/>
        <bgColor indexed="64"/>
      </patternFill>
    </fill>
    <fill>
      <patternFill patternType="solid">
        <fgColor theme="1"/>
        <bgColor indexed="64"/>
      </patternFill>
    </fill>
    <fill>
      <patternFill patternType="solid">
        <fgColor theme="0" tint="-0.249977111117893"/>
        <bgColor indexed="64"/>
      </patternFill>
    </fill>
    <fill>
      <patternFill patternType="solid">
        <fgColor rgb="FFFFC000"/>
        <bgColor indexed="64"/>
      </patternFill>
    </fill>
    <fill>
      <patternFill patternType="solid">
        <fgColor theme="1"/>
        <bgColor theme="4" tint="0.79998168889431442"/>
      </patternFill>
    </fill>
    <fill>
      <patternFill patternType="solid">
        <fgColor rgb="FFFFFFFF"/>
        <bgColor indexed="64"/>
      </patternFill>
    </fill>
    <fill>
      <patternFill patternType="solid">
        <fgColor theme="5" tint="0.39997558519241921"/>
        <bgColor indexed="64"/>
      </patternFill>
    </fill>
  </fills>
  <borders count="61">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double">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rgb="FF808080"/>
      </left>
      <right style="medium">
        <color rgb="FF808080"/>
      </right>
      <top/>
      <bottom style="medium">
        <color rgb="FF808080"/>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double">
        <color indexed="64"/>
      </bottom>
      <diagonal/>
    </border>
    <border>
      <left/>
      <right/>
      <top style="double">
        <color indexed="64"/>
      </top>
      <bottom style="double">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s>
  <cellStyleXfs count="7">
    <xf numFmtId="0" fontId="0" fillId="0" borderId="0"/>
    <xf numFmtId="43" fontId="5" fillId="0" borderId="0" applyFont="0" applyFill="0" applyBorder="0" applyAlignment="0" applyProtection="0"/>
    <xf numFmtId="9" fontId="5" fillId="0" borderId="0" applyFont="0" applyFill="0" applyBorder="0" applyAlignment="0" applyProtection="0"/>
    <xf numFmtId="0" fontId="18" fillId="0" borderId="0" applyNumberFormat="0" applyFill="0" applyBorder="0" applyAlignment="0" applyProtection="0"/>
    <xf numFmtId="0" fontId="5" fillId="0" borderId="0">
      <alignment vertical="center"/>
    </xf>
    <xf numFmtId="0" fontId="5" fillId="0" borderId="0" applyBorder="0">
      <alignment vertical="center"/>
    </xf>
    <xf numFmtId="0" fontId="5" fillId="0" borderId="53">
      <alignment vertical="center" wrapText="1"/>
    </xf>
  </cellStyleXfs>
  <cellXfs count="597">
    <xf numFmtId="0" fontId="0" fillId="0" borderId="0" xfId="0"/>
    <xf numFmtId="0" fontId="0" fillId="0" borderId="0" xfId="0" applyAlignment="1">
      <alignment wrapText="1"/>
    </xf>
    <xf numFmtId="0" fontId="0" fillId="0" borderId="0" xfId="0" applyAlignment="1">
      <alignment vertical="center"/>
    </xf>
    <xf numFmtId="0" fontId="0" fillId="0" borderId="0" xfId="0" applyAlignment="1">
      <alignment horizontal="center" vertical="center"/>
    </xf>
    <xf numFmtId="0" fontId="0" fillId="0" borderId="5" xfId="0" applyBorder="1" applyAlignment="1">
      <alignment vertical="center"/>
    </xf>
    <xf numFmtId="0" fontId="0" fillId="0" borderId="7" xfId="0" applyBorder="1" applyAlignment="1">
      <alignment vertical="center"/>
    </xf>
    <xf numFmtId="0" fontId="0" fillId="0" borderId="5" xfId="0" applyBorder="1" applyAlignment="1">
      <alignment vertical="center" wrapText="1"/>
    </xf>
    <xf numFmtId="0" fontId="2" fillId="0" borderId="1" xfId="0" applyFont="1" applyBorder="1" applyAlignment="1">
      <alignment horizontal="centerContinuous" vertical="center" wrapText="1"/>
    </xf>
    <xf numFmtId="0" fontId="2" fillId="0" borderId="2" xfId="0" applyFont="1" applyBorder="1" applyAlignment="1">
      <alignment horizontal="centerContinuous" vertical="center" wrapText="1"/>
    </xf>
    <xf numFmtId="0" fontId="2" fillId="0" borderId="3" xfId="0" applyFont="1" applyBorder="1" applyAlignment="1">
      <alignment horizontal="centerContinuous" vertical="center" wrapText="1"/>
    </xf>
    <xf numFmtId="0" fontId="0" fillId="0" borderId="0" xfId="0" applyAlignment="1" applyProtection="1">
      <alignment vertical="center"/>
      <protection locked="0"/>
    </xf>
    <xf numFmtId="0" fontId="0" fillId="0" borderId="0" xfId="0" applyAlignment="1">
      <alignment vertical="center" wrapText="1"/>
    </xf>
    <xf numFmtId="0" fontId="0" fillId="0" borderId="0" xfId="0" applyAlignment="1">
      <alignment horizontal="center"/>
    </xf>
    <xf numFmtId="13" fontId="0" fillId="0" borderId="0" xfId="0" applyNumberFormat="1" applyAlignment="1">
      <alignment horizontal="center"/>
    </xf>
    <xf numFmtId="12" fontId="0" fillId="0" borderId="0" xfId="0" applyNumberFormat="1" applyAlignment="1">
      <alignment horizontal="center"/>
    </xf>
    <xf numFmtId="9" fontId="0" fillId="0" borderId="0" xfId="0" applyNumberFormat="1" applyAlignment="1">
      <alignment horizontal="center"/>
    </xf>
    <xf numFmtId="0" fontId="1" fillId="0" borderId="4" xfId="0" applyFont="1" applyBorder="1" applyAlignment="1">
      <alignment horizontal="center" vertical="center" wrapText="1"/>
    </xf>
    <xf numFmtId="0" fontId="0" fillId="0" borderId="0" xfId="0" applyAlignment="1">
      <alignment horizontal="right"/>
    </xf>
    <xf numFmtId="3" fontId="0" fillId="0" borderId="0" xfId="0" applyNumberFormat="1" applyAlignment="1">
      <alignment horizontal="right"/>
    </xf>
    <xf numFmtId="3" fontId="0" fillId="0" borderId="0" xfId="0" applyNumberFormat="1" applyAlignment="1">
      <alignment horizontal="center"/>
    </xf>
    <xf numFmtId="0" fontId="0" fillId="0" borderId="0" xfId="0" applyAlignment="1">
      <alignment horizontal="left" vertical="center" wrapText="1"/>
    </xf>
    <xf numFmtId="0" fontId="1" fillId="0" borderId="6" xfId="0" applyFont="1" applyBorder="1" applyAlignment="1">
      <alignment horizontal="center" vertical="center" wrapText="1"/>
    </xf>
    <xf numFmtId="0" fontId="1" fillId="0" borderId="6" xfId="0" applyFont="1" applyBorder="1" applyAlignment="1">
      <alignment horizontal="left" vertical="center" wrapText="1"/>
    </xf>
    <xf numFmtId="0" fontId="1" fillId="0" borderId="8" xfId="0" applyFont="1" applyBorder="1" applyAlignment="1">
      <alignment horizontal="center" vertical="center" wrapText="1"/>
    </xf>
    <xf numFmtId="0" fontId="1" fillId="0" borderId="9" xfId="0" applyFont="1" applyBorder="1" applyAlignment="1">
      <alignment horizontal="left" vertical="center" wrapText="1"/>
    </xf>
    <xf numFmtId="0" fontId="17" fillId="0" borderId="0" xfId="0" applyFont="1"/>
    <xf numFmtId="3" fontId="0" fillId="0" borderId="0" xfId="0" applyNumberFormat="1" applyAlignment="1">
      <alignment vertical="center"/>
    </xf>
    <xf numFmtId="3" fontId="1" fillId="0" borderId="0" xfId="0" applyNumberFormat="1" applyFont="1" applyAlignment="1">
      <alignment vertical="center" wrapText="1"/>
    </xf>
    <xf numFmtId="2" fontId="0" fillId="0" borderId="0" xfId="0" applyNumberFormat="1" applyAlignment="1">
      <alignment vertical="center"/>
    </xf>
    <xf numFmtId="2" fontId="1" fillId="0" borderId="0" xfId="0" applyNumberFormat="1" applyFont="1" applyAlignment="1">
      <alignment vertical="center" wrapText="1"/>
    </xf>
    <xf numFmtId="2" fontId="0" fillId="0" borderId="0" xfId="0" applyNumberFormat="1" applyAlignment="1">
      <alignment horizontal="center" vertical="center"/>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0" fillId="0" borderId="23" xfId="0" applyBorder="1" applyAlignment="1">
      <alignment horizontal="center" vertical="center" wrapText="1"/>
    </xf>
    <xf numFmtId="0" fontId="0" fillId="0" borderId="14" xfId="0" applyBorder="1" applyAlignment="1">
      <alignment wrapText="1"/>
    </xf>
    <xf numFmtId="0" fontId="0" fillId="0" borderId="15" xfId="0" applyBorder="1" applyAlignment="1">
      <alignment wrapText="1"/>
    </xf>
    <xf numFmtId="0" fontId="0" fillId="0" borderId="14" xfId="0" applyBorder="1"/>
    <xf numFmtId="0" fontId="0" fillId="0" borderId="15" xfId="0" applyBorder="1"/>
    <xf numFmtId="0" fontId="0" fillId="0" borderId="16" xfId="0" applyBorder="1"/>
    <xf numFmtId="0" fontId="0" fillId="0" borderId="18" xfId="0" applyBorder="1"/>
    <xf numFmtId="0" fontId="0" fillId="0" borderId="14" xfId="0" applyBorder="1" applyAlignment="1">
      <alignment vertical="center" wrapText="1"/>
    </xf>
    <xf numFmtId="0" fontId="0" fillId="0" borderId="14" xfId="0" applyBorder="1" applyAlignment="1">
      <alignment horizontal="left" vertical="center" wrapText="1"/>
    </xf>
    <xf numFmtId="0" fontId="0" fillId="0" borderId="17" xfId="0" applyBorder="1"/>
    <xf numFmtId="9" fontId="0" fillId="0" borderId="15" xfId="0" applyNumberFormat="1" applyBorder="1" applyAlignment="1">
      <alignment horizontal="center"/>
    </xf>
    <xf numFmtId="3" fontId="0" fillId="0" borderId="14" xfId="0" applyNumberFormat="1" applyBorder="1" applyAlignment="1">
      <alignment horizontal="center"/>
    </xf>
    <xf numFmtId="3" fontId="0" fillId="0" borderId="15" xfId="0" applyNumberFormat="1" applyBorder="1" applyAlignment="1">
      <alignment horizontal="center"/>
    </xf>
    <xf numFmtId="3" fontId="0" fillId="0" borderId="16" xfId="0" applyNumberFormat="1" applyBorder="1" applyAlignment="1">
      <alignment horizontal="center"/>
    </xf>
    <xf numFmtId="3" fontId="0" fillId="0" borderId="17" xfId="0" applyNumberFormat="1" applyBorder="1" applyAlignment="1">
      <alignment horizontal="center"/>
    </xf>
    <xf numFmtId="3" fontId="0" fillId="0" borderId="18" xfId="0" applyNumberFormat="1" applyBorder="1" applyAlignment="1">
      <alignment horizontal="center"/>
    </xf>
    <xf numFmtId="0" fontId="0" fillId="0" borderId="11" xfId="0" applyBorder="1"/>
    <xf numFmtId="0" fontId="0" fillId="0" borderId="12" xfId="0" applyBorder="1"/>
    <xf numFmtId="0" fontId="0" fillId="0" borderId="13" xfId="0" applyBorder="1"/>
    <xf numFmtId="0" fontId="0" fillId="0" borderId="17" xfId="0" applyBorder="1" applyAlignment="1">
      <alignment vertical="center" wrapText="1"/>
    </xf>
    <xf numFmtId="0" fontId="0" fillId="0" borderId="14" xfId="0" applyBorder="1" applyAlignment="1">
      <alignment horizontal="left"/>
    </xf>
    <xf numFmtId="0" fontId="0" fillId="4" borderId="4" xfId="0" applyFill="1" applyBorder="1" applyAlignment="1" applyProtection="1">
      <alignment horizontal="center" vertical="center"/>
      <protection locked="0"/>
    </xf>
    <xf numFmtId="0" fontId="0" fillId="4" borderId="26" xfId="0" applyFill="1" applyBorder="1" applyAlignment="1" applyProtection="1">
      <alignment horizontal="center" vertical="center"/>
      <protection locked="0"/>
    </xf>
    <xf numFmtId="0" fontId="0" fillId="10" borderId="0" xfId="0" applyFill="1" applyAlignment="1" applyProtection="1">
      <alignment vertical="center"/>
      <protection locked="0"/>
    </xf>
    <xf numFmtId="0" fontId="4" fillId="0" borderId="0" xfId="0" applyFont="1" applyAlignment="1">
      <alignment vertical="center"/>
    </xf>
    <xf numFmtId="0" fontId="0" fillId="0" borderId="4" xfId="0" applyBorder="1"/>
    <xf numFmtId="3" fontId="0" fillId="0" borderId="0" xfId="0" applyNumberFormat="1"/>
    <xf numFmtId="0" fontId="0" fillId="0" borderId="31" xfId="0" applyBorder="1"/>
    <xf numFmtId="0" fontId="0" fillId="0" borderId="32" xfId="0" applyBorder="1"/>
    <xf numFmtId="0" fontId="0" fillId="0" borderId="33" xfId="0" applyBorder="1"/>
    <xf numFmtId="0" fontId="0" fillId="0" borderId="6" xfId="0" applyBorder="1"/>
    <xf numFmtId="0" fontId="4" fillId="10" borderId="0" xfId="0" applyFont="1" applyFill="1" applyAlignment="1">
      <alignment vertical="center"/>
    </xf>
    <xf numFmtId="0" fontId="0" fillId="10" borderId="0" xfId="0" applyFill="1" applyAlignment="1" applyProtection="1">
      <alignment horizontal="center" vertical="center"/>
      <protection locked="0"/>
    </xf>
    <xf numFmtId="0" fontId="0" fillId="10" borderId="0" xfId="0" applyFill="1"/>
    <xf numFmtId="0" fontId="0" fillId="10" borderId="30" xfId="0" applyFill="1" applyBorder="1" applyAlignment="1">
      <alignment horizontal="center" vertical="center" wrapText="1"/>
    </xf>
    <xf numFmtId="0" fontId="0" fillId="10" borderId="28" xfId="0" applyFill="1" applyBorder="1" applyAlignment="1">
      <alignment horizontal="center" vertical="center" wrapText="1"/>
    </xf>
    <xf numFmtId="0" fontId="0" fillId="12" borderId="0" xfId="0" applyFill="1" applyAlignment="1" applyProtection="1">
      <alignment vertical="center"/>
      <protection locked="0"/>
    </xf>
    <xf numFmtId="0" fontId="6" fillId="0" borderId="0" xfId="0" applyFont="1" applyAlignment="1" applyProtection="1">
      <alignment vertical="center"/>
      <protection locked="0"/>
    </xf>
    <xf numFmtId="0" fontId="4" fillId="0" borderId="11" xfId="0" applyFont="1" applyBorder="1"/>
    <xf numFmtId="0" fontId="4" fillId="0" borderId="14" xfId="0" applyFont="1" applyBorder="1"/>
    <xf numFmtId="0" fontId="4" fillId="0" borderId="15" xfId="0" applyFont="1" applyBorder="1"/>
    <xf numFmtId="0" fontId="0" fillId="0" borderId="5" xfId="0" applyBorder="1"/>
    <xf numFmtId="0" fontId="0" fillId="0" borderId="5" xfId="0" applyBorder="1" applyAlignment="1">
      <alignment horizontal="left" vertical="center" wrapText="1"/>
    </xf>
    <xf numFmtId="0" fontId="0" fillId="0" borderId="7" xfId="0" applyBorder="1" applyAlignment="1">
      <alignment horizontal="left" vertical="center" wrapText="1"/>
    </xf>
    <xf numFmtId="0" fontId="0" fillId="0" borderId="8" xfId="0" applyBorder="1"/>
    <xf numFmtId="0" fontId="0" fillId="0" borderId="9" xfId="0" applyBorder="1"/>
    <xf numFmtId="0" fontId="0" fillId="4" borderId="4" xfId="0" applyFill="1" applyBorder="1" applyAlignment="1" applyProtection="1">
      <alignment vertical="center"/>
      <protection locked="0"/>
    </xf>
    <xf numFmtId="0" fontId="0" fillId="4" borderId="26" xfId="0" applyFill="1" applyBorder="1" applyAlignment="1" applyProtection="1">
      <alignment vertical="center"/>
      <protection locked="0"/>
    </xf>
    <xf numFmtId="0" fontId="0" fillId="4" borderId="20" xfId="0" applyFill="1" applyBorder="1" applyAlignment="1" applyProtection="1">
      <alignment vertical="center"/>
      <protection locked="0"/>
    </xf>
    <xf numFmtId="0" fontId="0" fillId="4" borderId="25" xfId="0" applyFill="1" applyBorder="1" applyAlignment="1" applyProtection="1">
      <alignment vertical="center"/>
      <protection locked="0"/>
    </xf>
    <xf numFmtId="43" fontId="0" fillId="4" borderId="4" xfId="1" applyFont="1" applyFill="1" applyBorder="1" applyAlignment="1" applyProtection="1">
      <alignment horizontal="center" vertical="center"/>
      <protection locked="0"/>
    </xf>
    <xf numFmtId="43" fontId="0" fillId="4" borderId="26" xfId="1" applyFont="1" applyFill="1" applyBorder="1" applyAlignment="1" applyProtection="1">
      <alignment horizontal="center" vertical="center"/>
      <protection locked="0"/>
    </xf>
    <xf numFmtId="1" fontId="6" fillId="4" borderId="4" xfId="0" applyNumberFormat="1" applyFont="1" applyFill="1" applyBorder="1" applyAlignment="1" applyProtection="1">
      <alignment vertical="center"/>
      <protection locked="0"/>
    </xf>
    <xf numFmtId="1" fontId="6" fillId="4" borderId="26" xfId="0" applyNumberFormat="1" applyFont="1" applyFill="1" applyBorder="1" applyAlignment="1" applyProtection="1">
      <alignment vertical="center"/>
      <protection locked="0"/>
    </xf>
    <xf numFmtId="0" fontId="0" fillId="0" borderId="16" xfId="0" applyBorder="1" applyAlignment="1">
      <alignment wrapText="1"/>
    </xf>
    <xf numFmtId="0" fontId="19" fillId="0" borderId="0" xfId="0" applyFont="1"/>
    <xf numFmtId="0" fontId="0" fillId="0" borderId="15"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37" xfId="0" applyBorder="1" applyAlignment="1">
      <alignment horizontal="left" vertical="center" wrapText="1"/>
    </xf>
    <xf numFmtId="0" fontId="4" fillId="0" borderId="0" xfId="0" applyFont="1"/>
    <xf numFmtId="0" fontId="0" fillId="4" borderId="0" xfId="0" applyFill="1"/>
    <xf numFmtId="0" fontId="20" fillId="0" borderId="0" xfId="0" applyFont="1"/>
    <xf numFmtId="0" fontId="0" fillId="0" borderId="17" xfId="0" applyBorder="1" applyAlignment="1">
      <alignment horizontal="left" vertical="center" wrapText="1"/>
    </xf>
    <xf numFmtId="0" fontId="0" fillId="10" borderId="15" xfId="0" applyFill="1" applyBorder="1" applyAlignment="1">
      <alignment wrapText="1"/>
    </xf>
    <xf numFmtId="0" fontId="0" fillId="10" borderId="15" xfId="0" applyFill="1" applyBorder="1"/>
    <xf numFmtId="0" fontId="0" fillId="10" borderId="17" xfId="0" applyFill="1" applyBorder="1"/>
    <xf numFmtId="0" fontId="21" fillId="0" borderId="0" xfId="0" applyFont="1"/>
    <xf numFmtId="0" fontId="22" fillId="0" borderId="0" xfId="0" applyFont="1"/>
    <xf numFmtId="0" fontId="0" fillId="10" borderId="29" xfId="0" applyFill="1" applyBorder="1" applyAlignment="1">
      <alignment horizontal="center" vertical="center" wrapText="1"/>
    </xf>
    <xf numFmtId="0" fontId="24" fillId="0" borderId="0" xfId="0" applyFont="1" applyAlignment="1">
      <alignment vertical="center"/>
    </xf>
    <xf numFmtId="0" fontId="17" fillId="0" borderId="0" xfId="0" applyFont="1" applyAlignment="1">
      <alignment horizontal="left"/>
    </xf>
    <xf numFmtId="0" fontId="17" fillId="0" borderId="0" xfId="0" applyFont="1" applyAlignment="1">
      <alignment vertical="center"/>
    </xf>
    <xf numFmtId="0" fontId="17" fillId="4" borderId="4" xfId="0" applyFont="1" applyFill="1" applyBorder="1" applyAlignment="1" applyProtection="1">
      <alignment horizontal="left" vertical="center"/>
      <protection locked="0"/>
    </xf>
    <xf numFmtId="1" fontId="17" fillId="4" borderId="4" xfId="1" applyNumberFormat="1" applyFont="1" applyFill="1" applyBorder="1" applyAlignment="1" applyProtection="1">
      <alignment vertical="center" wrapText="1"/>
      <protection locked="0"/>
    </xf>
    <xf numFmtId="0" fontId="17" fillId="4" borderId="20" xfId="0" applyFont="1" applyFill="1" applyBorder="1" applyAlignment="1" applyProtection="1">
      <alignment horizontal="left" vertical="center" wrapText="1"/>
      <protection locked="0"/>
    </xf>
    <xf numFmtId="0" fontId="17" fillId="4" borderId="4" xfId="0" applyFont="1" applyFill="1" applyBorder="1" applyAlignment="1" applyProtection="1">
      <alignment horizontal="center" vertical="center" wrapText="1"/>
      <protection locked="0"/>
    </xf>
    <xf numFmtId="0" fontId="17" fillId="4" borderId="4" xfId="0" applyFont="1" applyFill="1" applyBorder="1" applyAlignment="1" applyProtection="1">
      <alignment vertical="center"/>
      <protection locked="0"/>
    </xf>
    <xf numFmtId="0" fontId="17" fillId="4" borderId="4" xfId="0" applyFont="1" applyFill="1" applyBorder="1" applyAlignment="1" applyProtection="1">
      <alignment horizontal="center" vertical="center"/>
      <protection locked="0"/>
    </xf>
    <xf numFmtId="0" fontId="17" fillId="4" borderId="20" xfId="0" applyFont="1" applyFill="1" applyBorder="1" applyAlignment="1" applyProtection="1">
      <alignment horizontal="left" vertical="center"/>
      <protection locked="0"/>
    </xf>
    <xf numFmtId="43" fontId="17" fillId="4" borderId="4" xfId="1" applyFont="1" applyFill="1" applyBorder="1" applyAlignment="1" applyProtection="1">
      <alignment horizontal="center" vertical="center"/>
      <protection locked="0"/>
    </xf>
    <xf numFmtId="1" fontId="12" fillId="4" borderId="4" xfId="0" applyNumberFormat="1" applyFont="1" applyFill="1" applyBorder="1" applyAlignment="1" applyProtection="1">
      <alignment vertical="center"/>
      <protection locked="0"/>
    </xf>
    <xf numFmtId="0" fontId="17" fillId="4" borderId="25" xfId="0" applyFont="1" applyFill="1" applyBorder="1" applyAlignment="1" applyProtection="1">
      <alignment horizontal="left" vertical="center"/>
      <protection locked="0"/>
    </xf>
    <xf numFmtId="0" fontId="17" fillId="4" borderId="26" xfId="0" applyFont="1" applyFill="1" applyBorder="1" applyAlignment="1" applyProtection="1">
      <alignment vertical="center"/>
      <protection locked="0"/>
    </xf>
    <xf numFmtId="43" fontId="17" fillId="4" borderId="26" xfId="1" applyFont="1" applyFill="1" applyBorder="1" applyAlignment="1" applyProtection="1">
      <alignment horizontal="center" vertical="center"/>
      <protection locked="0"/>
    </xf>
    <xf numFmtId="0" fontId="17" fillId="4" borderId="26" xfId="0" applyFont="1" applyFill="1" applyBorder="1" applyAlignment="1" applyProtection="1">
      <alignment horizontal="center" vertical="center"/>
      <protection locked="0"/>
    </xf>
    <xf numFmtId="1" fontId="12" fillId="4" borderId="26" xfId="0" applyNumberFormat="1" applyFont="1" applyFill="1" applyBorder="1" applyAlignment="1" applyProtection="1">
      <alignment vertical="center"/>
      <protection locked="0"/>
    </xf>
    <xf numFmtId="164" fontId="17" fillId="0" borderId="4" xfId="1" applyNumberFormat="1" applyFont="1" applyFill="1" applyBorder="1" applyAlignment="1" applyProtection="1">
      <alignment vertical="center"/>
    </xf>
    <xf numFmtId="10" fontId="17" fillId="0" borderId="4" xfId="1" applyNumberFormat="1" applyFont="1" applyFill="1" applyBorder="1" applyAlignment="1" applyProtection="1">
      <alignment vertical="center"/>
    </xf>
    <xf numFmtId="0" fontId="17" fillId="0" borderId="0" xfId="1" applyNumberFormat="1" applyFont="1" applyFill="1" applyBorder="1" applyAlignment="1" applyProtection="1">
      <alignment vertical="center"/>
    </xf>
    <xf numFmtId="0" fontId="17" fillId="4" borderId="20" xfId="0" applyFont="1" applyFill="1" applyBorder="1" applyAlignment="1" applyProtection="1">
      <alignment vertical="center"/>
      <protection locked="0"/>
    </xf>
    <xf numFmtId="0" fontId="17" fillId="4" borderId="25" xfId="0" applyFont="1" applyFill="1" applyBorder="1" applyAlignment="1" applyProtection="1">
      <alignment vertical="center"/>
      <protection locked="0"/>
    </xf>
    <xf numFmtId="0" fontId="28" fillId="10" borderId="4" xfId="0" applyFont="1" applyFill="1" applyBorder="1" applyAlignment="1">
      <alignment vertical="center"/>
    </xf>
    <xf numFmtId="0" fontId="28" fillId="10" borderId="19" xfId="0" applyFont="1" applyFill="1" applyBorder="1" applyAlignment="1">
      <alignment vertical="center"/>
    </xf>
    <xf numFmtId="0" fontId="9" fillId="0" borderId="0" xfId="0" applyFont="1"/>
    <xf numFmtId="0" fontId="11" fillId="0" borderId="0" xfId="0" applyFont="1" applyAlignment="1">
      <alignment horizontal="center"/>
    </xf>
    <xf numFmtId="0" fontId="12" fillId="0" borderId="0" xfId="0" applyFont="1" applyAlignment="1">
      <alignment horizontal="right"/>
    </xf>
    <xf numFmtId="0" fontId="13" fillId="0" borderId="0" xfId="0" applyFont="1" applyAlignment="1">
      <alignment horizontal="left"/>
    </xf>
    <xf numFmtId="0" fontId="12" fillId="0" borderId="0" xfId="0" applyFont="1" applyAlignment="1">
      <alignment horizontal="center"/>
    </xf>
    <xf numFmtId="0" fontId="14" fillId="0" borderId="0" xfId="0" applyFont="1"/>
    <xf numFmtId="0" fontId="10" fillId="0" borderId="0" xfId="0" applyFont="1" applyAlignment="1">
      <alignment horizontal="left"/>
    </xf>
    <xf numFmtId="0" fontId="15" fillId="0" borderId="0" xfId="0" applyFont="1"/>
    <xf numFmtId="0" fontId="16" fillId="0" borderId="0" xfId="0" applyFont="1" applyAlignment="1">
      <alignment horizontal="left"/>
    </xf>
    <xf numFmtId="0" fontId="0" fillId="0" borderId="0" xfId="0" applyAlignment="1">
      <alignment horizontal="left" vertical="top" wrapText="1"/>
    </xf>
    <xf numFmtId="0" fontId="12" fillId="0" borderId="0" xfId="0" applyFont="1"/>
    <xf numFmtId="0" fontId="13" fillId="0" borderId="10" xfId="0" applyFont="1" applyBorder="1"/>
    <xf numFmtId="0" fontId="12" fillId="0" borderId="10" xfId="0" applyFont="1" applyBorder="1"/>
    <xf numFmtId="3" fontId="12" fillId="0" borderId="10" xfId="0" applyNumberFormat="1" applyFont="1" applyBorder="1"/>
    <xf numFmtId="0" fontId="13" fillId="0" borderId="10" xfId="0" applyFont="1" applyBorder="1" applyAlignment="1">
      <alignment horizontal="right"/>
    </xf>
    <xf numFmtId="166" fontId="13" fillId="0" borderId="10" xfId="0" applyNumberFormat="1" applyFont="1" applyBorder="1" applyAlignment="1">
      <alignment horizontal="center"/>
    </xf>
    <xf numFmtId="0" fontId="0" fillId="0" borderId="22" xfId="0" applyBorder="1" applyAlignment="1">
      <alignment vertical="center"/>
    </xf>
    <xf numFmtId="0" fontId="0" fillId="0" borderId="24" xfId="0" applyBorder="1" applyAlignment="1">
      <alignment vertical="center"/>
    </xf>
    <xf numFmtId="0" fontId="10" fillId="0" borderId="34" xfId="0" applyFont="1" applyBorder="1"/>
    <xf numFmtId="0" fontId="0" fillId="0" borderId="35" xfId="0" applyBorder="1"/>
    <xf numFmtId="0" fontId="0" fillId="0" borderId="12" xfId="0" applyBorder="1" applyAlignment="1">
      <alignment vertical="center"/>
    </xf>
    <xf numFmtId="0" fontId="0" fillId="0" borderId="13" xfId="0" applyBorder="1" applyAlignment="1">
      <alignment vertical="center"/>
    </xf>
    <xf numFmtId="165" fontId="12" fillId="5" borderId="5" xfId="0" applyNumberFormat="1" applyFont="1" applyFill="1" applyBorder="1" applyAlignment="1">
      <alignment horizontal="center"/>
    </xf>
    <xf numFmtId="0" fontId="0" fillId="9" borderId="5" xfId="0" applyFill="1" applyBorder="1" applyAlignment="1">
      <alignment vertical="center"/>
    </xf>
    <xf numFmtId="0" fontId="11" fillId="3" borderId="5" xfId="0" applyFont="1" applyFill="1" applyBorder="1" applyAlignment="1">
      <alignment horizontal="center"/>
    </xf>
    <xf numFmtId="2" fontId="12" fillId="6" borderId="5" xfId="0" applyNumberFormat="1" applyFont="1" applyFill="1" applyBorder="1" applyAlignment="1">
      <alignment horizontal="center"/>
    </xf>
    <xf numFmtId="2" fontId="12" fillId="7" borderId="5" xfId="0" applyNumberFormat="1" applyFont="1" applyFill="1" applyBorder="1" applyAlignment="1">
      <alignment horizontal="center"/>
    </xf>
    <xf numFmtId="0" fontId="17" fillId="0" borderId="7" xfId="0" applyFont="1" applyBorder="1" applyAlignment="1">
      <alignment vertical="center"/>
    </xf>
    <xf numFmtId="0" fontId="17" fillId="0" borderId="0" xfId="0" applyFont="1" applyAlignment="1">
      <alignment horizontal="center" vertical="center"/>
    </xf>
    <xf numFmtId="0" fontId="0" fillId="0" borderId="0" xfId="0" applyAlignment="1">
      <alignment horizontal="left" vertical="center"/>
    </xf>
    <xf numFmtId="0" fontId="4" fillId="0" borderId="0" xfId="0" applyFont="1" applyAlignment="1">
      <alignment horizontal="left" vertical="center"/>
    </xf>
    <xf numFmtId="0" fontId="0" fillId="0" borderId="0" xfId="0" applyAlignment="1">
      <alignment horizontal="center" vertical="center" wrapText="1"/>
    </xf>
    <xf numFmtId="0" fontId="0" fillId="0" borderId="28" xfId="0" applyBorder="1" applyAlignment="1">
      <alignment horizontal="center" vertical="center" wrapText="1"/>
    </xf>
    <xf numFmtId="0" fontId="7" fillId="0" borderId="0" xfId="0" applyFont="1" applyAlignment="1">
      <alignment vertical="center" wrapText="1"/>
    </xf>
    <xf numFmtId="0" fontId="18" fillId="0" borderId="0" xfId="3" applyAlignment="1" applyProtection="1">
      <alignment vertical="center"/>
    </xf>
    <xf numFmtId="0" fontId="17" fillId="0" borderId="0" xfId="0" applyFont="1" applyAlignment="1">
      <alignment wrapText="1"/>
    </xf>
    <xf numFmtId="0" fontId="13" fillId="0" borderId="0" xfId="0" applyFont="1" applyAlignment="1">
      <alignment horizontal="center"/>
    </xf>
    <xf numFmtId="0" fontId="17" fillId="0" borderId="0" xfId="0" applyFont="1" applyAlignment="1">
      <alignment vertical="top" wrapText="1"/>
    </xf>
    <xf numFmtId="0" fontId="17" fillId="0" borderId="0" xfId="0" applyFont="1" applyAlignment="1">
      <alignment horizontal="left" vertical="top"/>
    </xf>
    <xf numFmtId="0" fontId="17" fillId="0" borderId="0" xfId="0" applyFont="1" applyAlignment="1">
      <alignment vertical="top"/>
    </xf>
    <xf numFmtId="0" fontId="12" fillId="0" borderId="0" xfId="0" applyFont="1" applyAlignment="1">
      <alignment horizontal="left"/>
    </xf>
    <xf numFmtId="0" fontId="26" fillId="0" borderId="0" xfId="0" applyFont="1" applyAlignment="1">
      <alignment vertical="center"/>
    </xf>
    <xf numFmtId="0" fontId="17" fillId="0" borderId="22" xfId="0" applyFont="1" applyBorder="1" applyAlignment="1">
      <alignment vertical="center"/>
    </xf>
    <xf numFmtId="0" fontId="17" fillId="0" borderId="23" xfId="0" applyFont="1" applyBorder="1" applyAlignment="1">
      <alignment horizontal="left" vertical="center"/>
    </xf>
    <xf numFmtId="0" fontId="17" fillId="0" borderId="24" xfId="0" applyFont="1" applyBorder="1" applyAlignment="1">
      <alignment vertical="center"/>
    </xf>
    <xf numFmtId="0" fontId="13" fillId="0" borderId="34" xfId="0" applyFont="1" applyBorder="1"/>
    <xf numFmtId="0" fontId="17" fillId="0" borderId="35" xfId="0" applyFont="1" applyBorder="1"/>
    <xf numFmtId="0" fontId="17" fillId="0" borderId="12" xfId="0" applyFont="1" applyBorder="1" applyAlignment="1">
      <alignment vertical="center"/>
    </xf>
    <xf numFmtId="0" fontId="17" fillId="0" borderId="13" xfId="0" applyFont="1" applyBorder="1" applyAlignment="1">
      <alignment vertical="center"/>
    </xf>
    <xf numFmtId="0" fontId="17" fillId="0" borderId="0" xfId="0" applyFont="1" applyAlignment="1">
      <alignment vertical="center" wrapText="1"/>
    </xf>
    <xf numFmtId="0" fontId="17" fillId="9" borderId="5" xfId="0" applyFont="1" applyFill="1" applyBorder="1" applyAlignment="1">
      <alignment vertical="center"/>
    </xf>
    <xf numFmtId="0" fontId="13" fillId="3" borderId="5" xfId="0" applyFont="1" applyFill="1" applyBorder="1" applyAlignment="1">
      <alignment horizontal="center"/>
    </xf>
    <xf numFmtId="43" fontId="17" fillId="10" borderId="4" xfId="1" applyFont="1" applyFill="1" applyBorder="1" applyAlignment="1" applyProtection="1">
      <alignment horizontal="left" vertical="center"/>
    </xf>
    <xf numFmtId="0" fontId="17" fillId="10" borderId="4" xfId="0" applyFont="1" applyFill="1" applyBorder="1" applyAlignment="1">
      <alignment horizontal="left" vertical="center"/>
    </xf>
    <xf numFmtId="0" fontId="17" fillId="10" borderId="26" xfId="0" applyFont="1" applyFill="1" applyBorder="1" applyAlignment="1">
      <alignment horizontal="left" vertical="center"/>
    </xf>
    <xf numFmtId="0" fontId="17" fillId="0" borderId="0" xfId="0" applyFont="1" applyAlignment="1">
      <alignment horizontal="left" vertical="center"/>
    </xf>
    <xf numFmtId="0" fontId="24" fillId="0" borderId="0" xfId="0" applyFont="1" applyAlignment="1">
      <alignment horizontal="left" vertical="center" indent="12"/>
    </xf>
    <xf numFmtId="0" fontId="27" fillId="0" borderId="0" xfId="0" applyFont="1" applyAlignment="1">
      <alignment vertical="center" wrapText="1"/>
    </xf>
    <xf numFmtId="0" fontId="26" fillId="0" borderId="0" xfId="0" applyFont="1" applyAlignment="1">
      <alignment horizontal="left" vertical="center"/>
    </xf>
    <xf numFmtId="0" fontId="17" fillId="0" borderId="22"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23" xfId="0" applyFont="1" applyBorder="1" applyAlignment="1">
      <alignment horizontal="center" vertical="center"/>
    </xf>
    <xf numFmtId="0" fontId="17" fillId="0" borderId="24" xfId="0" applyFont="1" applyBorder="1" applyAlignment="1">
      <alignment horizontal="center" vertical="center" wrapText="1"/>
    </xf>
    <xf numFmtId="9" fontId="17" fillId="0" borderId="19" xfId="2" applyFont="1" applyFill="1" applyBorder="1" applyAlignment="1" applyProtection="1">
      <alignment vertical="center"/>
    </xf>
    <xf numFmtId="9" fontId="17" fillId="0" borderId="0" xfId="2" applyFont="1" applyFill="1" applyBorder="1" applyAlignment="1" applyProtection="1">
      <alignment vertical="center" wrapText="1"/>
    </xf>
    <xf numFmtId="164" fontId="28" fillId="10" borderId="0" xfId="1" applyNumberFormat="1" applyFont="1" applyFill="1" applyBorder="1" applyAlignment="1" applyProtection="1">
      <alignment vertical="center" wrapText="1"/>
    </xf>
    <xf numFmtId="164" fontId="28" fillId="13" borderId="0" xfId="1" applyNumberFormat="1" applyFont="1" applyFill="1" applyBorder="1" applyAlignment="1" applyProtection="1">
      <alignment vertical="center"/>
    </xf>
    <xf numFmtId="164" fontId="28" fillId="10" borderId="0" xfId="1" applyNumberFormat="1" applyFont="1" applyFill="1" applyBorder="1" applyAlignment="1" applyProtection="1">
      <alignment vertical="center"/>
    </xf>
    <xf numFmtId="0" fontId="17" fillId="0" borderId="30" xfId="0" applyFont="1" applyBorder="1" applyAlignment="1">
      <alignment horizontal="center" vertical="center" wrapText="1"/>
    </xf>
    <xf numFmtId="0" fontId="17" fillId="0" borderId="29" xfId="0" applyFont="1" applyBorder="1" applyAlignment="1">
      <alignment horizontal="center" vertical="center" wrapText="1"/>
    </xf>
    <xf numFmtId="0" fontId="17" fillId="0" borderId="28" xfId="0" applyFont="1" applyBorder="1" applyAlignment="1">
      <alignment horizontal="center" vertical="center" wrapText="1"/>
    </xf>
    <xf numFmtId="2" fontId="17" fillId="4" borderId="4" xfId="0" applyNumberFormat="1" applyFont="1" applyFill="1" applyBorder="1" applyAlignment="1" applyProtection="1">
      <alignment horizontal="left" vertical="center" wrapText="1"/>
      <protection locked="0"/>
    </xf>
    <xf numFmtId="0" fontId="0" fillId="0" borderId="41" xfId="0" applyBorder="1"/>
    <xf numFmtId="0" fontId="0" fillId="0" borderId="25" xfId="0" applyBorder="1"/>
    <xf numFmtId="0" fontId="0" fillId="0" borderId="28" xfId="0" applyBorder="1"/>
    <xf numFmtId="0" fontId="0" fillId="0" borderId="29" xfId="0" applyBorder="1"/>
    <xf numFmtId="0" fontId="0" fillId="0" borderId="42" xfId="0" applyBorder="1" applyAlignment="1">
      <alignment vertical="center"/>
    </xf>
    <xf numFmtId="0" fontId="17" fillId="4" borderId="20" xfId="0" applyFont="1" applyFill="1" applyBorder="1" applyAlignment="1" applyProtection="1">
      <alignment horizontal="center" vertical="center"/>
      <protection locked="0"/>
    </xf>
    <xf numFmtId="0" fontId="29" fillId="0" borderId="0" xfId="0" applyFont="1"/>
    <xf numFmtId="0" fontId="0" fillId="0" borderId="14" xfId="0" applyBorder="1" applyAlignment="1">
      <alignment vertical="center"/>
    </xf>
    <xf numFmtId="2" fontId="17" fillId="0" borderId="0" xfId="0" applyNumberFormat="1" applyFont="1" applyAlignment="1">
      <alignment vertical="center"/>
    </xf>
    <xf numFmtId="0" fontId="17" fillId="0" borderId="41" xfId="0" applyFont="1" applyBorder="1" applyAlignment="1">
      <alignment vertical="center"/>
    </xf>
    <xf numFmtId="43" fontId="0" fillId="0" borderId="0" xfId="0" applyNumberFormat="1"/>
    <xf numFmtId="1" fontId="12" fillId="4" borderId="23" xfId="0" applyNumberFormat="1" applyFont="1" applyFill="1" applyBorder="1" applyAlignment="1" applyProtection="1">
      <alignment horizontal="center" vertical="center"/>
      <protection locked="0"/>
    </xf>
    <xf numFmtId="1" fontId="12" fillId="4" borderId="4" xfId="0" applyNumberFormat="1" applyFont="1" applyFill="1" applyBorder="1" applyAlignment="1" applyProtection="1">
      <alignment horizontal="center" vertical="center"/>
      <protection locked="0"/>
    </xf>
    <xf numFmtId="1" fontId="12" fillId="4" borderId="26" xfId="0" applyNumberFormat="1" applyFont="1" applyFill="1" applyBorder="1" applyAlignment="1" applyProtection="1">
      <alignment horizontal="center" vertical="center"/>
      <protection locked="0"/>
    </xf>
    <xf numFmtId="0" fontId="32" fillId="14" borderId="47" xfId="0" applyFont="1" applyFill="1" applyBorder="1" applyAlignment="1">
      <alignment horizontal="left" vertical="top" wrapText="1"/>
    </xf>
    <xf numFmtId="0" fontId="32" fillId="14" borderId="50" xfId="0" applyFont="1" applyFill="1" applyBorder="1" applyAlignment="1">
      <alignment horizontal="left" vertical="top" wrapText="1"/>
    </xf>
    <xf numFmtId="0" fontId="33" fillId="14" borderId="47" xfId="0" applyFont="1" applyFill="1" applyBorder="1" applyAlignment="1">
      <alignment vertical="top" wrapText="1"/>
    </xf>
    <xf numFmtId="0" fontId="33" fillId="14" borderId="50" xfId="0" applyFont="1" applyFill="1" applyBorder="1" applyAlignment="1">
      <alignment vertical="top" wrapText="1"/>
    </xf>
    <xf numFmtId="3" fontId="33" fillId="14" borderId="50" xfId="0" applyNumberFormat="1" applyFont="1" applyFill="1" applyBorder="1" applyAlignment="1">
      <alignment vertical="top" wrapText="1"/>
    </xf>
    <xf numFmtId="0" fontId="4" fillId="0" borderId="0" xfId="0" applyFont="1" applyAlignment="1">
      <alignment horizontal="left" vertical="center" wrapText="1"/>
    </xf>
    <xf numFmtId="0" fontId="0" fillId="0" borderId="0" xfId="0" applyAlignment="1">
      <alignment vertical="top" wrapText="1"/>
    </xf>
    <xf numFmtId="0" fontId="0" fillId="0" borderId="0" xfId="0" applyAlignment="1">
      <alignment vertical="top"/>
    </xf>
    <xf numFmtId="0" fontId="0" fillId="0" borderId="23" xfId="0" applyBorder="1" applyAlignment="1">
      <alignment horizontal="left" vertical="center"/>
    </xf>
    <xf numFmtId="0" fontId="0" fillId="0" borderId="20" xfId="0" applyBorder="1" applyAlignment="1">
      <alignment vertical="center"/>
    </xf>
    <xf numFmtId="0" fontId="0" fillId="4" borderId="4" xfId="0" applyFill="1" applyBorder="1" applyAlignment="1" applyProtection="1">
      <alignment horizontal="left" vertical="center"/>
      <protection locked="0"/>
    </xf>
    <xf numFmtId="0" fontId="0" fillId="0" borderId="19" xfId="0" applyBorder="1" applyAlignment="1">
      <alignment vertical="center"/>
    </xf>
    <xf numFmtId="0" fontId="0" fillId="0" borderId="21" xfId="0" applyBorder="1" applyAlignment="1">
      <alignment vertical="center"/>
    </xf>
    <xf numFmtId="0" fontId="0" fillId="0" borderId="20" xfId="0" applyBorder="1" applyAlignment="1">
      <alignment vertical="center" wrapText="1"/>
    </xf>
    <xf numFmtId="2" fontId="0" fillId="4" borderId="4" xfId="0" applyNumberFormat="1" applyFill="1" applyBorder="1" applyAlignment="1" applyProtection="1">
      <alignment horizontal="left" vertical="center" wrapText="1"/>
      <protection locked="0"/>
    </xf>
    <xf numFmtId="0" fontId="0" fillId="0" borderId="21" xfId="0" applyBorder="1" applyAlignment="1">
      <alignment vertical="center" wrapText="1"/>
    </xf>
    <xf numFmtId="0" fontId="0" fillId="9" borderId="26" xfId="0" applyFill="1" applyBorder="1" applyAlignment="1" applyProtection="1">
      <alignment horizontal="left" vertical="center"/>
      <protection locked="0"/>
    </xf>
    <xf numFmtId="0" fontId="0" fillId="0" borderId="25" xfId="0" applyBorder="1" applyAlignment="1">
      <alignment vertical="center" wrapText="1"/>
    </xf>
    <xf numFmtId="164" fontId="28" fillId="10" borderId="0" xfId="1" applyNumberFormat="1" applyFont="1" applyFill="1" applyBorder="1" applyAlignment="1" applyProtection="1">
      <alignment vertical="center" wrapText="1"/>
      <protection locked="0"/>
    </xf>
    <xf numFmtId="164" fontId="28" fillId="13" borderId="0" xfId="1" applyNumberFormat="1" applyFont="1" applyFill="1" applyBorder="1" applyAlignment="1" applyProtection="1">
      <alignment vertical="center"/>
      <protection locked="0"/>
    </xf>
    <xf numFmtId="164" fontId="28" fillId="10" borderId="0" xfId="1" applyNumberFormat="1" applyFont="1" applyFill="1" applyBorder="1" applyAlignment="1" applyProtection="1">
      <alignment vertical="center"/>
      <protection locked="0"/>
    </xf>
    <xf numFmtId="0" fontId="28" fillId="10" borderId="4" xfId="0" applyFont="1" applyFill="1" applyBorder="1" applyAlignment="1" applyProtection="1">
      <alignment vertical="center"/>
      <protection locked="0"/>
    </xf>
    <xf numFmtId="0" fontId="28" fillId="10" borderId="19" xfId="0" applyFont="1" applyFill="1" applyBorder="1" applyAlignment="1" applyProtection="1">
      <alignment vertical="center"/>
      <protection locked="0"/>
    </xf>
    <xf numFmtId="2" fontId="0" fillId="4" borderId="4" xfId="1" applyNumberFormat="1" applyFont="1" applyFill="1" applyBorder="1" applyAlignment="1" applyProtection="1">
      <alignment horizontal="left" vertical="center"/>
      <protection locked="0"/>
    </xf>
    <xf numFmtId="0" fontId="17" fillId="4" borderId="4" xfId="0" applyFont="1" applyFill="1" applyBorder="1" applyAlignment="1" applyProtection="1">
      <alignment horizontal="left" vertical="center" wrapText="1"/>
      <protection locked="0"/>
    </xf>
    <xf numFmtId="0" fontId="17" fillId="4" borderId="4" xfId="0" applyFont="1" applyFill="1" applyBorder="1" applyAlignment="1" applyProtection="1">
      <alignment horizontal="right" vertical="center"/>
      <protection locked="0"/>
    </xf>
    <xf numFmtId="0" fontId="17" fillId="0" borderId="4" xfId="0" applyFont="1" applyBorder="1" applyAlignment="1">
      <alignment vertical="center"/>
    </xf>
    <xf numFmtId="0" fontId="0" fillId="0" borderId="4" xfId="0" applyBorder="1" applyAlignment="1">
      <alignment vertical="center"/>
    </xf>
    <xf numFmtId="0" fontId="17" fillId="0" borderId="20" xfId="0" applyFont="1" applyBorder="1" applyAlignment="1">
      <alignment vertical="center" wrapText="1"/>
    </xf>
    <xf numFmtId="164" fontId="17" fillId="0" borderId="4" xfId="0" applyNumberFormat="1" applyFont="1" applyBorder="1" applyAlignment="1">
      <alignment vertical="center"/>
    </xf>
    <xf numFmtId="0" fontId="17" fillId="0" borderId="4" xfId="0" applyFont="1" applyBorder="1" applyAlignment="1">
      <alignment vertical="center" wrapText="1"/>
    </xf>
    <xf numFmtId="0" fontId="17" fillId="0" borderId="19" xfId="0" applyFont="1" applyBorder="1" applyAlignment="1">
      <alignment vertical="center"/>
    </xf>
    <xf numFmtId="0" fontId="17" fillId="10" borderId="21" xfId="0" applyFont="1" applyFill="1" applyBorder="1" applyAlignment="1">
      <alignment vertical="center" wrapText="1"/>
    </xf>
    <xf numFmtId="0" fontId="17" fillId="10" borderId="19" xfId="0" applyFont="1" applyFill="1" applyBorder="1" applyAlignment="1">
      <alignment vertical="center"/>
    </xf>
    <xf numFmtId="0" fontId="17" fillId="10" borderId="20" xfId="0" applyFont="1" applyFill="1" applyBorder="1" applyAlignment="1">
      <alignment vertical="center" wrapText="1"/>
    </xf>
    <xf numFmtId="0" fontId="17" fillId="0" borderId="21" xfId="0" applyFont="1" applyBorder="1" applyAlignment="1">
      <alignment vertical="center"/>
    </xf>
    <xf numFmtId="0" fontId="17" fillId="0" borderId="20" xfId="0" applyFont="1" applyBorder="1" applyAlignment="1">
      <alignment vertical="center"/>
    </xf>
    <xf numFmtId="43" fontId="17" fillId="0" borderId="4" xfId="0" applyNumberFormat="1" applyFont="1" applyBorder="1" applyAlignment="1">
      <alignment horizontal="center" vertical="center" wrapText="1"/>
    </xf>
    <xf numFmtId="0" fontId="17" fillId="0" borderId="4" xfId="0" applyFont="1" applyBorder="1" applyAlignment="1">
      <alignment horizontal="center" vertical="center"/>
    </xf>
    <xf numFmtId="0" fontId="17" fillId="0" borderId="0" xfId="0" applyFont="1" applyAlignment="1" applyProtection="1">
      <alignment horizontal="left" vertical="center"/>
      <protection locked="0"/>
    </xf>
    <xf numFmtId="0" fontId="17" fillId="0" borderId="4" xfId="0" applyFont="1" applyBorder="1" applyAlignment="1">
      <alignment horizontal="left" vertical="center"/>
    </xf>
    <xf numFmtId="2" fontId="17" fillId="0" borderId="4" xfId="0" applyNumberFormat="1" applyFont="1" applyBorder="1" applyAlignment="1">
      <alignment horizontal="left" vertical="center"/>
    </xf>
    <xf numFmtId="0" fontId="12" fillId="0" borderId="4" xfId="0" applyFont="1" applyBorder="1" applyAlignment="1">
      <alignment horizontal="left" vertical="center"/>
    </xf>
    <xf numFmtId="0" fontId="17" fillId="0" borderId="19" xfId="0" applyFont="1" applyBorder="1" applyAlignment="1">
      <alignment horizontal="center" vertical="center"/>
    </xf>
    <xf numFmtId="0" fontId="17" fillId="0" borderId="4" xfId="1" applyNumberFormat="1" applyFont="1" applyFill="1" applyBorder="1" applyAlignment="1" applyProtection="1">
      <alignment vertical="center"/>
    </xf>
    <xf numFmtId="0" fontId="17" fillId="0" borderId="19" xfId="0" applyFont="1" applyBorder="1" applyAlignment="1">
      <alignment vertical="center" wrapText="1"/>
    </xf>
    <xf numFmtId="0" fontId="17" fillId="10" borderId="20" xfId="0" applyFont="1" applyFill="1" applyBorder="1" applyAlignment="1">
      <alignment vertical="center"/>
    </xf>
    <xf numFmtId="0" fontId="17" fillId="10" borderId="4" xfId="0" applyFont="1" applyFill="1" applyBorder="1" applyAlignment="1">
      <alignment vertical="center"/>
    </xf>
    <xf numFmtId="0" fontId="26" fillId="0" borderId="4" xfId="0" applyFont="1" applyBorder="1" applyAlignment="1">
      <alignment vertical="center"/>
    </xf>
    <xf numFmtId="9" fontId="17" fillId="0" borderId="19" xfId="2" applyFont="1" applyFill="1" applyBorder="1" applyAlignment="1" applyProtection="1">
      <alignment vertical="center" wrapText="1"/>
    </xf>
    <xf numFmtId="164" fontId="17" fillId="0" borderId="25" xfId="1" applyNumberFormat="1" applyFont="1" applyFill="1" applyBorder="1" applyAlignment="1" applyProtection="1">
      <alignment vertical="center" wrapText="1"/>
    </xf>
    <xf numFmtId="164" fontId="17" fillId="0" borderId="26" xfId="1" applyNumberFormat="1" applyFont="1" applyFill="1" applyBorder="1" applyAlignment="1" applyProtection="1">
      <alignment vertical="center"/>
    </xf>
    <xf numFmtId="0" fontId="26" fillId="0" borderId="26" xfId="0" applyFont="1" applyBorder="1" applyAlignment="1">
      <alignment vertical="center"/>
    </xf>
    <xf numFmtId="0" fontId="28" fillId="0" borderId="27" xfId="0" applyFont="1" applyBorder="1" applyAlignment="1">
      <alignment vertical="center" wrapText="1"/>
    </xf>
    <xf numFmtId="164" fontId="17" fillId="0" borderId="20" xfId="1" applyNumberFormat="1" applyFont="1" applyFill="1" applyBorder="1" applyAlignment="1" applyProtection="1">
      <alignment vertical="center" wrapText="1"/>
    </xf>
    <xf numFmtId="2" fontId="0" fillId="0" borderId="4" xfId="0" applyNumberFormat="1" applyBorder="1" applyAlignment="1">
      <alignment horizontal="left" vertical="center"/>
    </xf>
    <xf numFmtId="0" fontId="0" fillId="0" borderId="4" xfId="0" applyBorder="1" applyAlignment="1">
      <alignment horizontal="left" vertical="center"/>
    </xf>
    <xf numFmtId="0" fontId="0" fillId="0" borderId="29" xfId="0" applyBorder="1" applyAlignment="1">
      <alignment vertical="center"/>
    </xf>
    <xf numFmtId="43" fontId="0" fillId="0" borderId="30" xfId="0" applyNumberFormat="1" applyBorder="1" applyAlignment="1">
      <alignment vertical="center"/>
    </xf>
    <xf numFmtId="0" fontId="0" fillId="0" borderId="30" xfId="0" applyBorder="1" applyAlignment="1">
      <alignment vertical="center"/>
    </xf>
    <xf numFmtId="0" fontId="0" fillId="0" borderId="30" xfId="0" applyBorder="1" applyAlignment="1">
      <alignment vertical="center" wrapText="1"/>
    </xf>
    <xf numFmtId="0" fontId="0" fillId="0" borderId="28" xfId="0" applyBorder="1" applyAlignment="1">
      <alignment vertical="center"/>
    </xf>
    <xf numFmtId="164" fontId="0" fillId="0" borderId="4" xfId="1" applyNumberFormat="1" applyFont="1" applyFill="1" applyBorder="1" applyAlignment="1" applyProtection="1">
      <alignment vertical="center"/>
    </xf>
    <xf numFmtId="164" fontId="0" fillId="0" borderId="4" xfId="0" applyNumberFormat="1" applyBorder="1" applyAlignment="1">
      <alignment vertical="center"/>
    </xf>
    <xf numFmtId="0" fontId="4" fillId="0" borderId="4" xfId="0" applyFont="1" applyBorder="1" applyAlignment="1">
      <alignment vertical="center"/>
    </xf>
    <xf numFmtId="9" fontId="0" fillId="0" borderId="19" xfId="2" applyFont="1" applyBorder="1" applyAlignment="1" applyProtection="1">
      <alignment vertical="center" wrapText="1"/>
    </xf>
    <xf numFmtId="10" fontId="0" fillId="0" borderId="4" xfId="0" applyNumberFormat="1" applyBorder="1" applyAlignment="1">
      <alignment vertical="center"/>
    </xf>
    <xf numFmtId="10" fontId="0" fillId="0" borderId="4" xfId="2" applyNumberFormat="1" applyFont="1" applyBorder="1" applyAlignment="1" applyProtection="1">
      <alignment vertical="center"/>
    </xf>
    <xf numFmtId="0" fontId="0" fillId="0" borderId="25" xfId="0" applyBorder="1" applyAlignment="1">
      <alignment vertical="center"/>
    </xf>
    <xf numFmtId="164" fontId="0" fillId="2" borderId="26" xfId="1" applyNumberFormat="1" applyFont="1" applyFill="1" applyBorder="1" applyAlignment="1" applyProtection="1">
      <alignment vertical="center"/>
    </xf>
    <xf numFmtId="0" fontId="0" fillId="0" borderId="26" xfId="0" applyBorder="1" applyAlignment="1">
      <alignment vertical="center"/>
    </xf>
    <xf numFmtId="164" fontId="0" fillId="0" borderId="26" xfId="0" applyNumberFormat="1" applyBorder="1" applyAlignment="1">
      <alignment vertical="center"/>
    </xf>
    <xf numFmtId="0" fontId="4" fillId="0" borderId="26" xfId="0" applyFont="1" applyBorder="1" applyAlignment="1">
      <alignment vertical="center"/>
    </xf>
    <xf numFmtId="9" fontId="0" fillId="0" borderId="27" xfId="2" applyFont="1" applyBorder="1" applyAlignment="1" applyProtection="1">
      <alignment vertical="center" wrapText="1"/>
    </xf>
    <xf numFmtId="43" fontId="0" fillId="0" borderId="30" xfId="0" applyNumberFormat="1" applyBorder="1"/>
    <xf numFmtId="0" fontId="0" fillId="0" borderId="51" xfId="0" applyBorder="1" applyAlignment="1">
      <alignment vertical="center"/>
    </xf>
    <xf numFmtId="0" fontId="0" fillId="0" borderId="35" xfId="0" applyBorder="1" applyAlignment="1">
      <alignment vertical="center"/>
    </xf>
    <xf numFmtId="0" fontId="0" fillId="0" borderId="52" xfId="0" applyBorder="1" applyAlignment="1">
      <alignment vertical="center"/>
    </xf>
    <xf numFmtId="0" fontId="0" fillId="8" borderId="20" xfId="0" applyFill="1" applyBorder="1" applyAlignment="1">
      <alignment vertical="center"/>
    </xf>
    <xf numFmtId="3" fontId="0" fillId="8" borderId="4" xfId="0" applyNumberFormat="1" applyFill="1" applyBorder="1" applyAlignment="1">
      <alignment vertical="center"/>
    </xf>
    <xf numFmtId="0" fontId="0" fillId="8" borderId="4" xfId="0" applyFill="1" applyBorder="1" applyAlignment="1">
      <alignment vertical="center"/>
    </xf>
    <xf numFmtId="0" fontId="0" fillId="8" borderId="19" xfId="0" applyFill="1" applyBorder="1" applyAlignment="1">
      <alignment vertical="center"/>
    </xf>
    <xf numFmtId="9" fontId="0" fillId="0" borderId="19" xfId="2" applyFont="1" applyBorder="1" applyAlignment="1" applyProtection="1">
      <alignment vertical="center"/>
    </xf>
    <xf numFmtId="0" fontId="0" fillId="0" borderId="19" xfId="0" applyBorder="1" applyAlignment="1">
      <alignment vertical="center" wrapText="1"/>
    </xf>
    <xf numFmtId="0" fontId="0" fillId="0" borderId="27" xfId="0" applyBorder="1" applyAlignment="1">
      <alignment vertical="center" wrapText="1"/>
    </xf>
    <xf numFmtId="43" fontId="0" fillId="0" borderId="4" xfId="0" applyNumberFormat="1" applyBorder="1" applyAlignment="1">
      <alignment horizontal="center" vertical="center"/>
    </xf>
    <xf numFmtId="0" fontId="0" fillId="0" borderId="4" xfId="0" applyBorder="1" applyAlignment="1">
      <alignment horizontal="center" vertical="center"/>
    </xf>
    <xf numFmtId="0" fontId="4" fillId="0" borderId="19" xfId="0" applyFont="1" applyBorder="1" applyAlignment="1">
      <alignment wrapText="1"/>
    </xf>
    <xf numFmtId="2" fontId="0" fillId="0" borderId="1" xfId="0" applyNumberFormat="1" applyBorder="1" applyAlignment="1">
      <alignment vertical="center" wrapText="1"/>
    </xf>
    <xf numFmtId="0" fontId="17" fillId="0" borderId="25" xfId="0" applyFont="1" applyBorder="1" applyAlignment="1">
      <alignment vertical="center" wrapText="1"/>
    </xf>
    <xf numFmtId="0" fontId="17" fillId="0" borderId="27" xfId="0" applyFont="1" applyBorder="1" applyAlignment="1">
      <alignment vertical="center"/>
    </xf>
    <xf numFmtId="0" fontId="17" fillId="0" borderId="23" xfId="0" applyFont="1" applyBorder="1" applyAlignment="1">
      <alignment vertical="center"/>
    </xf>
    <xf numFmtId="0" fontId="17" fillId="0" borderId="43" xfId="0" applyFont="1" applyBorder="1" applyAlignment="1">
      <alignment vertical="center" wrapText="1"/>
    </xf>
    <xf numFmtId="2" fontId="17" fillId="0" borderId="43" xfId="0" applyNumberFormat="1" applyFont="1" applyBorder="1" applyAlignment="1">
      <alignment horizontal="center" vertical="center"/>
    </xf>
    <xf numFmtId="43" fontId="17" fillId="0" borderId="4" xfId="0" applyNumberFormat="1" applyFont="1" applyBorder="1" applyAlignment="1">
      <alignment horizontal="center" vertical="center"/>
    </xf>
    <xf numFmtId="0" fontId="17" fillId="0" borderId="23" xfId="0" applyFont="1" applyBorder="1" applyAlignment="1">
      <alignment vertical="center" wrapText="1"/>
    </xf>
    <xf numFmtId="0" fontId="17" fillId="0" borderId="25" xfId="0" applyFont="1" applyBorder="1" applyAlignment="1">
      <alignment vertical="center"/>
    </xf>
    <xf numFmtId="0" fontId="17" fillId="0" borderId="26" xfId="0" applyFont="1" applyBorder="1" applyAlignment="1">
      <alignment vertical="center"/>
    </xf>
    <xf numFmtId="164" fontId="17" fillId="0" borderId="26" xfId="0" applyNumberFormat="1" applyFont="1" applyBorder="1" applyAlignment="1">
      <alignment vertical="center"/>
    </xf>
    <xf numFmtId="9" fontId="17" fillId="0" borderId="27" xfId="2" applyFont="1" applyFill="1" applyBorder="1" applyAlignment="1" applyProtection="1">
      <alignment vertical="center"/>
    </xf>
    <xf numFmtId="0" fontId="4" fillId="0" borderId="4" xfId="0" applyFont="1" applyBorder="1" applyAlignment="1">
      <alignment horizontal="center" vertical="center"/>
    </xf>
    <xf numFmtId="0" fontId="4" fillId="0" borderId="6" xfId="0" applyFont="1" applyBorder="1" applyAlignment="1">
      <alignment horizontal="center" vertical="center"/>
    </xf>
    <xf numFmtId="0" fontId="0" fillId="4" borderId="38" xfId="0" applyFill="1" applyBorder="1" applyAlignment="1" applyProtection="1">
      <alignment vertical="center"/>
      <protection locked="0"/>
    </xf>
    <xf numFmtId="43" fontId="0" fillId="4" borderId="8" xfId="1" applyFont="1" applyFill="1" applyBorder="1" applyAlignment="1" applyProtection="1">
      <alignment horizontal="center" vertical="center"/>
      <protection locked="0"/>
    </xf>
    <xf numFmtId="0" fontId="0" fillId="4" borderId="8" xfId="0" applyFill="1" applyBorder="1" applyAlignment="1" applyProtection="1">
      <alignment horizontal="center" vertical="center"/>
      <protection locked="0"/>
    </xf>
    <xf numFmtId="43" fontId="0" fillId="0" borderId="8" xfId="0" applyNumberFormat="1" applyBorder="1" applyAlignment="1">
      <alignment horizontal="center" vertical="center"/>
    </xf>
    <xf numFmtId="1" fontId="6" fillId="4" borderId="8" xfId="0" applyNumberFormat="1" applyFont="1" applyFill="1" applyBorder="1" applyAlignment="1" applyProtection="1">
      <alignment vertical="center"/>
      <protection locked="0"/>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0" fillId="0" borderId="35" xfId="0" applyBorder="1" applyAlignment="1">
      <alignment horizontal="center" vertical="center" wrapText="1"/>
    </xf>
    <xf numFmtId="0" fontId="0" fillId="0" borderId="35" xfId="0" applyBorder="1" applyAlignment="1" applyProtection="1">
      <alignment horizontal="center" vertical="center" wrapText="1"/>
      <protection locked="0"/>
    </xf>
    <xf numFmtId="0" fontId="0" fillId="0" borderId="36" xfId="0" applyBorder="1" applyAlignment="1">
      <alignment horizontal="center" vertical="center" wrapText="1"/>
    </xf>
    <xf numFmtId="0" fontId="0" fillId="4" borderId="8" xfId="0" applyFill="1" applyBorder="1" applyAlignment="1" applyProtection="1">
      <alignment vertical="center"/>
      <protection locked="0"/>
    </xf>
    <xf numFmtId="0" fontId="0" fillId="0" borderId="51" xfId="0" applyBorder="1" applyAlignment="1">
      <alignment horizontal="center" vertical="center" wrapText="1"/>
    </xf>
    <xf numFmtId="14" fontId="0" fillId="0" borderId="0" xfId="0" applyNumberFormat="1"/>
    <xf numFmtId="0" fontId="0" fillId="0" borderId="56" xfId="0" applyBorder="1" applyAlignment="1">
      <alignment vertical="center"/>
    </xf>
    <xf numFmtId="0" fontId="0" fillId="0" borderId="43" xfId="0" applyBorder="1" applyAlignment="1">
      <alignment vertical="center" wrapText="1"/>
    </xf>
    <xf numFmtId="0" fontId="0" fillId="0" borderId="57" xfId="0" applyBorder="1" applyAlignment="1">
      <alignment vertical="center"/>
    </xf>
    <xf numFmtId="0" fontId="17" fillId="0" borderId="56" xfId="0" applyFont="1" applyBorder="1" applyAlignment="1">
      <alignment vertical="center"/>
    </xf>
    <xf numFmtId="0" fontId="26" fillId="0" borderId="0" xfId="0" applyFont="1"/>
    <xf numFmtId="0" fontId="13" fillId="0" borderId="0" xfId="0" applyFont="1" applyAlignment="1">
      <alignment horizontal="left" vertical="top"/>
    </xf>
    <xf numFmtId="0" fontId="15" fillId="0" borderId="0" xfId="0" applyFont="1" applyAlignment="1">
      <alignment vertical="top"/>
    </xf>
    <xf numFmtId="0" fontId="0" fillId="0" borderId="15" xfId="0" applyBorder="1" applyAlignment="1">
      <alignment vertical="center" wrapText="1"/>
    </xf>
    <xf numFmtId="0" fontId="0" fillId="0" borderId="18" xfId="0" applyBorder="1" applyAlignment="1">
      <alignment vertical="center" wrapText="1"/>
    </xf>
    <xf numFmtId="0" fontId="0" fillId="0" borderId="13" xfId="0" applyBorder="1" applyAlignment="1">
      <alignment vertical="center" wrapText="1"/>
    </xf>
    <xf numFmtId="0" fontId="0" fillId="0" borderId="16" xfId="0" applyBorder="1" applyAlignment="1">
      <alignment vertical="center" wrapText="1"/>
    </xf>
    <xf numFmtId="0" fontId="36" fillId="0" borderId="15" xfId="0" applyFont="1" applyBorder="1" applyAlignment="1">
      <alignment vertical="center" wrapText="1"/>
    </xf>
    <xf numFmtId="0" fontId="18" fillId="0" borderId="0" xfId="3" applyBorder="1" applyProtection="1">
      <protection locked="0"/>
    </xf>
    <xf numFmtId="0" fontId="0" fillId="0" borderId="0" xfId="0" applyProtection="1">
      <protection locked="0"/>
    </xf>
    <xf numFmtId="0" fontId="0" fillId="4" borderId="4" xfId="0" applyFill="1" applyBorder="1" applyAlignment="1">
      <alignment horizontal="left" vertical="center"/>
    </xf>
    <xf numFmtId="2" fontId="0" fillId="4" borderId="4" xfId="0" applyNumberFormat="1" applyFill="1" applyBorder="1" applyAlignment="1">
      <alignment horizontal="left" vertical="center" wrapText="1"/>
    </xf>
    <xf numFmtId="2" fontId="0" fillId="4" borderId="4" xfId="1" applyNumberFormat="1" applyFont="1" applyFill="1" applyBorder="1" applyAlignment="1" applyProtection="1">
      <alignment horizontal="left" vertical="center"/>
    </xf>
    <xf numFmtId="0" fontId="0" fillId="9" borderId="26" xfId="0" applyFill="1" applyBorder="1" applyAlignment="1">
      <alignment horizontal="left" vertical="center"/>
    </xf>
    <xf numFmtId="0" fontId="0" fillId="4" borderId="4" xfId="0" applyFill="1" applyBorder="1" applyAlignment="1">
      <alignment vertical="center"/>
    </xf>
    <xf numFmtId="0" fontId="0" fillId="4" borderId="20" xfId="0" applyFill="1" applyBorder="1" applyAlignment="1">
      <alignment vertical="center"/>
    </xf>
    <xf numFmtId="43" fontId="0" fillId="4" borderId="4" xfId="1" applyFont="1" applyFill="1" applyBorder="1" applyAlignment="1" applyProtection="1">
      <alignment horizontal="center" vertical="center"/>
    </xf>
    <xf numFmtId="0" fontId="0" fillId="4" borderId="4" xfId="0" applyFill="1" applyBorder="1" applyAlignment="1">
      <alignment horizontal="center" vertical="center"/>
    </xf>
    <xf numFmtId="1" fontId="6" fillId="4" borderId="4" xfId="0" applyNumberFormat="1" applyFont="1" applyFill="1" applyBorder="1" applyAlignment="1">
      <alignment vertical="center"/>
    </xf>
    <xf numFmtId="0" fontId="0" fillId="4" borderId="26" xfId="0" applyFill="1" applyBorder="1" applyAlignment="1">
      <alignment vertical="center"/>
    </xf>
    <xf numFmtId="0" fontId="0" fillId="4" borderId="25" xfId="0" applyFill="1" applyBorder="1" applyAlignment="1">
      <alignment vertical="center"/>
    </xf>
    <xf numFmtId="43" fontId="0" fillId="4" borderId="26" xfId="1" applyFont="1" applyFill="1" applyBorder="1" applyAlignment="1" applyProtection="1">
      <alignment horizontal="center" vertical="center"/>
    </xf>
    <xf numFmtId="0" fontId="0" fillId="4" borderId="26" xfId="0" applyFill="1" applyBorder="1" applyAlignment="1">
      <alignment horizontal="center" vertical="center"/>
    </xf>
    <xf numFmtId="1" fontId="6" fillId="4" borderId="26" xfId="0" applyNumberFormat="1" applyFont="1" applyFill="1" applyBorder="1" applyAlignment="1">
      <alignment vertical="center"/>
    </xf>
    <xf numFmtId="0" fontId="0" fillId="0" borderId="56" xfId="0" applyBorder="1"/>
    <xf numFmtId="0" fontId="17" fillId="4" borderId="4" xfId="0" applyFont="1" applyFill="1" applyBorder="1" applyAlignment="1">
      <alignment horizontal="left" vertical="center" wrapText="1"/>
    </xf>
    <xf numFmtId="0" fontId="0" fillId="0" borderId="0" xfId="0" applyAlignment="1">
      <alignment horizontal="left"/>
    </xf>
    <xf numFmtId="0" fontId="17" fillId="4" borderId="4" xfId="0" applyFont="1" applyFill="1" applyBorder="1" applyAlignment="1">
      <alignment horizontal="left" vertical="center"/>
    </xf>
    <xf numFmtId="2" fontId="17" fillId="4" borderId="4" xfId="0" applyNumberFormat="1" applyFont="1" applyFill="1" applyBorder="1" applyAlignment="1">
      <alignment horizontal="left" vertical="center" wrapText="1"/>
    </xf>
    <xf numFmtId="1" fontId="17" fillId="4" borderId="4" xfId="1" applyNumberFormat="1" applyFont="1" applyFill="1" applyBorder="1" applyAlignment="1" applyProtection="1">
      <alignment vertical="center" wrapText="1"/>
    </xf>
    <xf numFmtId="0" fontId="17" fillId="0" borderId="57" xfId="0" applyFont="1" applyBorder="1" applyAlignment="1">
      <alignment vertical="center"/>
    </xf>
    <xf numFmtId="0" fontId="17" fillId="4" borderId="20" xfId="0" applyFont="1" applyFill="1" applyBorder="1" applyAlignment="1">
      <alignment horizontal="left" vertical="center" wrapText="1"/>
    </xf>
    <xf numFmtId="0" fontId="17" fillId="4" borderId="4" xfId="0" applyFont="1" applyFill="1" applyBorder="1" applyAlignment="1">
      <alignment horizontal="right" vertical="center"/>
    </xf>
    <xf numFmtId="0" fontId="17" fillId="4" borderId="4" xfId="0" applyFont="1" applyFill="1" applyBorder="1" applyAlignment="1">
      <alignment horizontal="center" vertical="center"/>
    </xf>
    <xf numFmtId="1" fontId="12" fillId="4" borderId="23" xfId="0" applyNumberFormat="1" applyFont="1" applyFill="1" applyBorder="1" applyAlignment="1">
      <alignment horizontal="center" vertical="center"/>
    </xf>
    <xf numFmtId="0" fontId="17" fillId="4" borderId="4" xfId="0" applyFont="1" applyFill="1" applyBorder="1" applyAlignment="1">
      <alignment horizontal="center" vertical="center" wrapText="1"/>
    </xf>
    <xf numFmtId="0" fontId="17" fillId="4" borderId="20" xfId="0" applyFont="1" applyFill="1" applyBorder="1" applyAlignment="1">
      <alignment horizontal="left" vertical="center"/>
    </xf>
    <xf numFmtId="0" fontId="17" fillId="4" borderId="4" xfId="0" applyFont="1" applyFill="1" applyBorder="1" applyAlignment="1">
      <alignment vertical="center"/>
    </xf>
    <xf numFmtId="43" fontId="17" fillId="4" borderId="4" xfId="1" applyFont="1" applyFill="1" applyBorder="1" applyAlignment="1" applyProtection="1">
      <alignment horizontal="center" vertical="center"/>
    </xf>
    <xf numFmtId="1" fontId="12" fillId="4" borderId="4" xfId="0" applyNumberFormat="1" applyFont="1" applyFill="1" applyBorder="1" applyAlignment="1">
      <alignment horizontal="center" vertical="center"/>
    </xf>
    <xf numFmtId="0" fontId="17" fillId="4" borderId="25" xfId="0" applyFont="1" applyFill="1" applyBorder="1" applyAlignment="1">
      <alignment horizontal="left" vertical="center"/>
    </xf>
    <xf numFmtId="0" fontId="17" fillId="4" borderId="26" xfId="0" applyFont="1" applyFill="1" applyBorder="1" applyAlignment="1">
      <alignment vertical="center"/>
    </xf>
    <xf numFmtId="43" fontId="17" fillId="4" borderId="26" xfId="1" applyFont="1" applyFill="1" applyBorder="1" applyAlignment="1" applyProtection="1">
      <alignment horizontal="center" vertical="center"/>
    </xf>
    <xf numFmtId="0" fontId="17" fillId="4" borderId="26" xfId="0" applyFont="1" applyFill="1" applyBorder="1" applyAlignment="1">
      <alignment horizontal="center" vertical="center"/>
    </xf>
    <xf numFmtId="1" fontId="12" fillId="4" borderId="26" xfId="0" applyNumberFormat="1" applyFont="1" applyFill="1" applyBorder="1" applyAlignment="1">
      <alignment horizontal="center" vertical="center"/>
    </xf>
    <xf numFmtId="0" fontId="17" fillId="4" borderId="20" xfId="0" applyFont="1" applyFill="1" applyBorder="1" applyAlignment="1">
      <alignment vertical="center"/>
    </xf>
    <xf numFmtId="0" fontId="17" fillId="4" borderId="25" xfId="0" applyFont="1" applyFill="1" applyBorder="1" applyAlignment="1">
      <alignment vertical="center"/>
    </xf>
    <xf numFmtId="10" fontId="17" fillId="0" borderId="4" xfId="2" applyNumberFormat="1" applyFont="1" applyBorder="1" applyAlignment="1" applyProtection="1">
      <alignment vertical="center"/>
    </xf>
    <xf numFmtId="0" fontId="17" fillId="0" borderId="56" xfId="0" applyFont="1" applyBorder="1" applyAlignment="1">
      <alignment horizontal="center" vertical="center"/>
    </xf>
    <xf numFmtId="0" fontId="0" fillId="0" borderId="0" xfId="3" applyFont="1" applyBorder="1" applyProtection="1">
      <protection locked="0"/>
    </xf>
    <xf numFmtId="0" fontId="0" fillId="0" borderId="14" xfId="0" applyBorder="1" applyProtection="1">
      <protection locked="0"/>
    </xf>
    <xf numFmtId="0" fontId="4" fillId="0" borderId="0" xfId="0" applyFont="1" applyProtection="1">
      <protection locked="0"/>
    </xf>
    <xf numFmtId="0" fontId="0" fillId="0" borderId="15" xfId="0" applyBorder="1" applyProtection="1">
      <protection locked="0"/>
    </xf>
    <xf numFmtId="0" fontId="0" fillId="0" borderId="16" xfId="0" applyBorder="1" applyProtection="1">
      <protection locked="0"/>
    </xf>
    <xf numFmtId="0" fontId="0" fillId="0" borderId="17" xfId="0" applyBorder="1" applyProtection="1">
      <protection locked="0"/>
    </xf>
    <xf numFmtId="0" fontId="0" fillId="0" borderId="18" xfId="0" applyBorder="1" applyProtection="1">
      <protection locked="0"/>
    </xf>
    <xf numFmtId="0" fontId="0" fillId="0" borderId="11" xfId="0" applyBorder="1" applyProtection="1">
      <protection locked="0"/>
    </xf>
    <xf numFmtId="0" fontId="0" fillId="0" borderId="12" xfId="0" applyBorder="1" applyProtection="1">
      <protection locked="0"/>
    </xf>
    <xf numFmtId="0" fontId="0" fillId="0" borderId="13" xfId="0" applyBorder="1" applyProtection="1">
      <protection locked="0"/>
    </xf>
    <xf numFmtId="0" fontId="17" fillId="4" borderId="23" xfId="0" applyFont="1" applyFill="1" applyBorder="1" applyAlignment="1" applyProtection="1">
      <alignment vertical="center"/>
      <protection locked="0"/>
    </xf>
    <xf numFmtId="43" fontId="17" fillId="4" borderId="4" xfId="0" applyNumberFormat="1" applyFont="1" applyFill="1" applyBorder="1" applyAlignment="1" applyProtection="1">
      <alignment horizontal="center" vertical="center"/>
      <protection locked="0"/>
    </xf>
    <xf numFmtId="43" fontId="17" fillId="4" borderId="23" xfId="0" applyNumberFormat="1" applyFont="1" applyFill="1" applyBorder="1" applyAlignment="1" applyProtection="1">
      <alignment horizontal="center" vertical="center"/>
      <protection locked="0"/>
    </xf>
    <xf numFmtId="43" fontId="17" fillId="4" borderId="26" xfId="0" applyNumberFormat="1" applyFont="1" applyFill="1" applyBorder="1" applyAlignment="1" applyProtection="1">
      <alignment horizontal="center" vertical="center"/>
      <protection locked="0"/>
    </xf>
    <xf numFmtId="1" fontId="12" fillId="4" borderId="23" xfId="0" applyNumberFormat="1" applyFont="1" applyFill="1" applyBorder="1" applyAlignment="1" applyProtection="1">
      <alignment vertical="center"/>
      <protection locked="0"/>
    </xf>
    <xf numFmtId="0" fontId="17" fillId="4" borderId="23" xfId="0" applyFont="1" applyFill="1" applyBorder="1" applyAlignment="1" applyProtection="1">
      <alignment horizontal="center" vertical="center"/>
      <protection locked="0"/>
    </xf>
    <xf numFmtId="0" fontId="26" fillId="0" borderId="4" xfId="0" applyFont="1" applyBorder="1" applyAlignment="1">
      <alignment horizontal="center" vertical="center"/>
    </xf>
    <xf numFmtId="43" fontId="17" fillId="4" borderId="23" xfId="1" applyFont="1" applyFill="1" applyBorder="1" applyAlignment="1" applyProtection="1">
      <alignment horizontal="center" vertical="center"/>
      <protection locked="0"/>
    </xf>
    <xf numFmtId="0" fontId="26" fillId="0" borderId="23" xfId="0" applyFont="1" applyBorder="1" applyAlignment="1">
      <alignment horizontal="center" vertical="center"/>
    </xf>
    <xf numFmtId="0" fontId="26" fillId="0" borderId="26" xfId="0" applyFont="1" applyBorder="1" applyAlignment="1">
      <alignment horizontal="center" vertical="center"/>
    </xf>
    <xf numFmtId="0" fontId="17" fillId="0" borderId="23" xfId="0" applyFont="1" applyBorder="1" applyAlignment="1" applyProtection="1">
      <alignment horizontal="center" vertical="center"/>
      <protection locked="0"/>
    </xf>
    <xf numFmtId="0" fontId="17" fillId="0" borderId="4" xfId="0" applyFont="1" applyBorder="1" applyAlignment="1" applyProtection="1">
      <alignment horizontal="center" vertical="center"/>
      <protection locked="0"/>
    </xf>
    <xf numFmtId="0" fontId="17" fillId="0" borderId="26" xfId="0" applyFont="1" applyBorder="1" applyAlignment="1" applyProtection="1">
      <alignment horizontal="center" vertical="center"/>
      <protection locked="0"/>
    </xf>
    <xf numFmtId="43" fontId="12" fillId="0" borderId="23" xfId="0" applyNumberFormat="1" applyFont="1" applyBorder="1" applyAlignment="1" applyProtection="1">
      <alignment horizontal="center" vertical="center"/>
      <protection locked="0"/>
    </xf>
    <xf numFmtId="43" fontId="12" fillId="0" borderId="4" xfId="0" applyNumberFormat="1" applyFont="1" applyBorder="1" applyAlignment="1" applyProtection="1">
      <alignment horizontal="center" vertical="center"/>
      <protection locked="0"/>
    </xf>
    <xf numFmtId="43" fontId="12" fillId="0" borderId="26" xfId="0" applyNumberFormat="1" applyFont="1" applyBorder="1" applyAlignment="1" applyProtection="1">
      <alignment horizontal="center" vertical="center"/>
      <protection locked="0"/>
    </xf>
    <xf numFmtId="0" fontId="17" fillId="0" borderId="26" xfId="0" applyFont="1" applyBorder="1" applyAlignment="1">
      <alignment horizontal="center" vertical="center"/>
    </xf>
    <xf numFmtId="0" fontId="26" fillId="0" borderId="19" xfId="0" applyFont="1" applyBorder="1" applyAlignment="1">
      <alignment horizontal="center" vertical="center" wrapText="1"/>
    </xf>
    <xf numFmtId="1" fontId="17" fillId="4" borderId="4" xfId="0" applyNumberFormat="1" applyFont="1" applyFill="1" applyBorder="1" applyAlignment="1">
      <alignment horizontal="center" vertical="center"/>
    </xf>
    <xf numFmtId="1" fontId="17" fillId="4" borderId="4" xfId="1" applyNumberFormat="1" applyFont="1" applyFill="1" applyBorder="1" applyAlignment="1" applyProtection="1">
      <alignment horizontal="center" vertical="center"/>
    </xf>
    <xf numFmtId="1" fontId="17" fillId="4" borderId="26" xfId="1" applyNumberFormat="1" applyFont="1" applyFill="1" applyBorder="1" applyAlignment="1" applyProtection="1">
      <alignment horizontal="center" vertical="center"/>
    </xf>
    <xf numFmtId="0" fontId="4" fillId="0" borderId="19" xfId="0" applyFont="1" applyBorder="1" applyAlignment="1">
      <alignment horizontal="center" wrapText="1"/>
    </xf>
    <xf numFmtId="0" fontId="0" fillId="0" borderId="26" xfId="0" applyBorder="1" applyAlignment="1">
      <alignment horizontal="center" vertical="center"/>
    </xf>
    <xf numFmtId="0" fontId="4" fillId="0" borderId="19" xfId="0" applyFont="1" applyBorder="1" applyAlignment="1">
      <alignment horizontal="center" vertical="center"/>
    </xf>
    <xf numFmtId="0" fontId="6" fillId="0" borderId="0" xfId="3" applyFont="1" applyBorder="1" applyProtection="1">
      <protection locked="0"/>
    </xf>
    <xf numFmtId="0" fontId="0" fillId="4" borderId="26" xfId="0" applyFill="1" applyBorder="1" applyAlignment="1" applyProtection="1">
      <alignment horizontal="left" vertical="center"/>
      <protection locked="0"/>
    </xf>
    <xf numFmtId="0" fontId="0" fillId="0" borderId="27" xfId="0" applyBorder="1" applyAlignment="1">
      <alignment vertical="center"/>
    </xf>
    <xf numFmtId="0" fontId="17" fillId="0" borderId="19" xfId="0" applyFont="1" applyBorder="1" applyAlignment="1">
      <alignment horizontal="center" vertical="center" wrapText="1"/>
    </xf>
    <xf numFmtId="0" fontId="35" fillId="15" borderId="1" xfId="0" applyFont="1" applyFill="1" applyBorder="1" applyAlignment="1">
      <alignment horizontal="center" vertical="center" wrapText="1"/>
    </xf>
    <xf numFmtId="0" fontId="35" fillId="15" borderId="2" xfId="0" applyFont="1" applyFill="1" applyBorder="1" applyAlignment="1">
      <alignment horizontal="center" vertical="center" wrapText="1"/>
    </xf>
    <xf numFmtId="0" fontId="35" fillId="15" borderId="3" xfId="0" applyFont="1" applyFill="1" applyBorder="1" applyAlignment="1">
      <alignment horizontal="center" vertical="center" wrapText="1"/>
    </xf>
    <xf numFmtId="0" fontId="0" fillId="0" borderId="14" xfId="0" applyBorder="1" applyAlignment="1">
      <alignment horizontal="center" vertical="center" wrapText="1"/>
    </xf>
    <xf numFmtId="0" fontId="0" fillId="0" borderId="0" xfId="0" applyAlignment="1">
      <alignment horizontal="center" vertical="center" wrapText="1"/>
    </xf>
    <xf numFmtId="0" fontId="36" fillId="0" borderId="11" xfId="0" applyFont="1" applyBorder="1" applyAlignment="1">
      <alignment horizontal="center" wrapText="1"/>
    </xf>
    <xf numFmtId="0" fontId="36" fillId="0" borderId="12" xfId="0" applyFont="1" applyBorder="1" applyAlignment="1">
      <alignment horizontal="center" wrapText="1"/>
    </xf>
    <xf numFmtId="0" fontId="36" fillId="0" borderId="14" xfId="0" applyFont="1" applyBorder="1" applyAlignment="1">
      <alignment horizontal="center" wrapText="1"/>
    </xf>
    <xf numFmtId="0" fontId="36" fillId="0" borderId="0" xfId="0" applyFont="1" applyAlignment="1">
      <alignment horizontal="center" wrapText="1"/>
    </xf>
    <xf numFmtId="0" fontId="34" fillId="0" borderId="0" xfId="0" applyFont="1" applyAlignment="1">
      <alignment horizontal="left" vertical="center" wrapText="1"/>
    </xf>
    <xf numFmtId="0" fontId="0" fillId="0" borderId="0" xfId="0" applyAlignment="1">
      <alignment vertical="center" wrapText="1"/>
    </xf>
    <xf numFmtId="0" fontId="4" fillId="0" borderId="0" xfId="0" applyFont="1" applyAlignment="1">
      <alignment vertical="center" wrapText="1"/>
    </xf>
    <xf numFmtId="0" fontId="4" fillId="0" borderId="0" xfId="0" applyFont="1" applyAlignment="1">
      <alignment horizontal="left" vertical="center"/>
    </xf>
    <xf numFmtId="0" fontId="4" fillId="0" borderId="0" xfId="0" applyFont="1" applyAlignment="1">
      <alignment horizontal="left" vertical="center" wrapText="1"/>
    </xf>
    <xf numFmtId="0" fontId="23" fillId="0" borderId="0" xfId="0" applyFont="1" applyAlignment="1">
      <alignment vertical="center" wrapText="1"/>
    </xf>
    <xf numFmtId="0" fontId="0" fillId="0" borderId="45" xfId="0" applyBorder="1" applyAlignment="1">
      <alignment horizontal="center" vertical="center" wrapText="1"/>
    </xf>
    <xf numFmtId="0" fontId="0" fillId="0" borderId="44" xfId="0" applyBorder="1" applyAlignment="1">
      <alignment horizontal="center" vertical="center" wrapText="1"/>
    </xf>
    <xf numFmtId="0" fontId="0" fillId="0" borderId="46" xfId="0" applyBorder="1" applyAlignment="1">
      <alignment horizontal="center" vertical="center" wrapText="1"/>
    </xf>
    <xf numFmtId="0" fontId="4" fillId="0" borderId="0" xfId="0" applyFont="1" applyAlignment="1">
      <alignment horizontal="left" wrapText="1"/>
    </xf>
    <xf numFmtId="0" fontId="31" fillId="0" borderId="14" xfId="0" applyFont="1" applyBorder="1" applyAlignment="1">
      <alignment horizontal="center" vertical="center" wrapText="1"/>
    </xf>
    <xf numFmtId="0" fontId="31" fillId="0" borderId="0" xfId="0" applyFont="1" applyAlignment="1">
      <alignment horizontal="center" vertical="center" wrapText="1"/>
    </xf>
    <xf numFmtId="0" fontId="0" fillId="0" borderId="1" xfId="0" applyBorder="1" applyAlignment="1">
      <alignment vertical="center" wrapText="1"/>
    </xf>
    <xf numFmtId="0" fontId="0" fillId="0" borderId="2" xfId="0" applyBorder="1" applyAlignment="1">
      <alignment vertical="center" wrapText="1"/>
    </xf>
    <xf numFmtId="0" fontId="0" fillId="0" borderId="3" xfId="0" applyBorder="1" applyAlignment="1">
      <alignment vertical="center" wrapText="1"/>
    </xf>
    <xf numFmtId="0" fontId="4" fillId="0" borderId="0" xfId="0" applyFont="1" applyAlignment="1">
      <alignment vertical="center"/>
    </xf>
    <xf numFmtId="0" fontId="12" fillId="0" borderId="4" xfId="0" applyFont="1" applyBorder="1"/>
    <xf numFmtId="0" fontId="0" fillId="0" borderId="4" xfId="0" applyBorder="1"/>
    <xf numFmtId="0" fontId="0" fillId="0" borderId="6" xfId="0" applyBorder="1"/>
    <xf numFmtId="0" fontId="17" fillId="0" borderId="4" xfId="0" applyFont="1" applyBorder="1" applyAlignment="1">
      <alignment vertical="center"/>
    </xf>
    <xf numFmtId="0" fontId="0" fillId="0" borderId="4" xfId="0" applyBorder="1" applyAlignment="1">
      <alignment vertical="center"/>
    </xf>
    <xf numFmtId="0" fontId="0" fillId="0" borderId="6" xfId="0" applyBorder="1" applyAlignment="1">
      <alignment vertical="center"/>
    </xf>
    <xf numFmtId="0" fontId="17" fillId="0" borderId="4" xfId="0" applyFont="1" applyBorder="1"/>
    <xf numFmtId="0" fontId="17" fillId="0" borderId="6" xfId="0" applyFont="1" applyBorder="1"/>
    <xf numFmtId="0" fontId="17" fillId="0" borderId="8" xfId="0" applyFont="1" applyBorder="1" applyAlignment="1">
      <alignment vertical="center"/>
    </xf>
    <xf numFmtId="0" fontId="17" fillId="0" borderId="9" xfId="0" applyFont="1" applyBorder="1" applyAlignment="1">
      <alignment vertical="center"/>
    </xf>
    <xf numFmtId="0" fontId="0" fillId="0" borderId="11" xfId="0" applyBorder="1" applyAlignment="1">
      <alignment vertical="center"/>
    </xf>
    <xf numFmtId="0" fontId="0" fillId="0" borderId="14" xfId="0" applyBorder="1" applyAlignment="1">
      <alignment vertical="center"/>
    </xf>
    <xf numFmtId="0" fontId="0" fillId="0" borderId="16" xfId="0" applyBorder="1" applyAlignment="1">
      <alignment vertical="center"/>
    </xf>
    <xf numFmtId="0" fontId="4" fillId="0" borderId="12" xfId="0" applyFont="1" applyBorder="1" applyAlignment="1">
      <alignment vertical="center" wrapText="1"/>
    </xf>
    <xf numFmtId="0" fontId="0" fillId="0" borderId="17" xfId="0" applyBorder="1" applyAlignment="1">
      <alignment vertical="center" wrapText="1"/>
    </xf>
    <xf numFmtId="0" fontId="0" fillId="0" borderId="12" xfId="0" applyBorder="1" applyAlignment="1">
      <alignment vertical="center" wrapText="1"/>
    </xf>
    <xf numFmtId="0" fontId="0" fillId="0" borderId="13" xfId="0" applyBorder="1" applyAlignment="1">
      <alignment horizontal="center" vertical="center" wrapText="1"/>
    </xf>
    <xf numFmtId="0" fontId="0" fillId="0" borderId="15" xfId="0" applyBorder="1" applyAlignment="1">
      <alignment vertical="center" wrapText="1"/>
    </xf>
    <xf numFmtId="0" fontId="0" fillId="0" borderId="18" xfId="0" applyBorder="1" applyAlignment="1">
      <alignment vertical="center" wrapText="1"/>
    </xf>
    <xf numFmtId="0" fontId="13" fillId="0" borderId="10" xfId="0" applyFont="1" applyBorder="1" applyAlignment="1">
      <alignment vertical="top" wrapText="1"/>
    </xf>
    <xf numFmtId="0" fontId="4" fillId="0" borderId="10" xfId="0" applyFont="1" applyBorder="1" applyAlignment="1">
      <alignment vertical="top" wrapText="1"/>
    </xf>
    <xf numFmtId="0" fontId="8" fillId="0" borderId="11" xfId="0" applyFont="1" applyBorder="1" applyAlignment="1">
      <alignment wrapText="1"/>
    </xf>
    <xf numFmtId="0" fontId="8" fillId="0" borderId="12" xfId="0" applyFont="1" applyBorder="1" applyAlignment="1">
      <alignment wrapText="1"/>
    </xf>
    <xf numFmtId="0" fontId="8" fillId="0" borderId="13" xfId="0" applyFont="1" applyBorder="1" applyAlignment="1">
      <alignment wrapText="1"/>
    </xf>
    <xf numFmtId="0" fontId="8" fillId="0" borderId="14" xfId="0" applyFont="1" applyBorder="1" applyAlignment="1">
      <alignment wrapText="1"/>
    </xf>
    <xf numFmtId="0" fontId="8" fillId="0" borderId="0" xfId="0" applyFont="1" applyAlignment="1">
      <alignment wrapText="1"/>
    </xf>
    <xf numFmtId="0" fontId="8" fillId="0" borderId="15" xfId="0" applyFont="1" applyBorder="1" applyAlignment="1">
      <alignment wrapText="1"/>
    </xf>
    <xf numFmtId="0" fontId="8" fillId="0" borderId="16" xfId="0" applyFont="1" applyBorder="1" applyAlignment="1">
      <alignment wrapText="1"/>
    </xf>
    <xf numFmtId="0" fontId="8" fillId="0" borderId="17" xfId="0" applyFont="1" applyBorder="1" applyAlignment="1">
      <alignment wrapText="1"/>
    </xf>
    <xf numFmtId="0" fontId="8" fillId="0" borderId="18" xfId="0" applyFont="1" applyBorder="1" applyAlignment="1">
      <alignment wrapText="1"/>
    </xf>
    <xf numFmtId="0" fontId="10" fillId="0" borderId="34" xfId="0" applyFont="1" applyBorder="1" applyAlignment="1">
      <alignment horizontal="left"/>
    </xf>
    <xf numFmtId="0" fontId="0" fillId="0" borderId="35" xfId="0" applyBorder="1" applyAlignment="1">
      <alignment horizontal="left"/>
    </xf>
    <xf numFmtId="0" fontId="0" fillId="4" borderId="52" xfId="0" applyFill="1" applyBorder="1" applyAlignment="1">
      <alignment horizontal="left" vertical="center" wrapText="1"/>
    </xf>
    <xf numFmtId="0" fontId="0" fillId="4" borderId="54" xfId="0" applyFill="1" applyBorder="1" applyAlignment="1">
      <alignment horizontal="left" vertical="center" wrapText="1"/>
    </xf>
    <xf numFmtId="0" fontId="0" fillId="4" borderId="55" xfId="0" applyFill="1" applyBorder="1" applyAlignment="1">
      <alignment horizontal="left" vertical="center" wrapText="1"/>
    </xf>
    <xf numFmtId="0" fontId="10" fillId="0" borderId="5" xfId="0" applyFont="1" applyBorder="1" applyAlignment="1">
      <alignment horizontal="left"/>
    </xf>
    <xf numFmtId="0" fontId="0" fillId="0" borderId="4" xfId="0" applyBorder="1" applyAlignment="1">
      <alignment horizontal="left"/>
    </xf>
    <xf numFmtId="0" fontId="0" fillId="11" borderId="4" xfId="0" applyFill="1" applyBorder="1" applyAlignment="1">
      <alignment wrapText="1"/>
    </xf>
    <xf numFmtId="0" fontId="0" fillId="11" borderId="6" xfId="0" applyFill="1" applyBorder="1" applyAlignment="1">
      <alignment wrapText="1"/>
    </xf>
    <xf numFmtId="0" fontId="0" fillId="4" borderId="4" xfId="0" applyFill="1" applyBorder="1" applyAlignment="1">
      <alignment wrapText="1"/>
    </xf>
    <xf numFmtId="0" fontId="0" fillId="4" borderId="6" xfId="0" applyFill="1" applyBorder="1" applyAlignment="1">
      <alignment wrapText="1"/>
    </xf>
    <xf numFmtId="0" fontId="0" fillId="4" borderId="4" xfId="0" applyFill="1" applyBorder="1" applyAlignment="1">
      <alignment horizontal="left" vertical="center" wrapText="1"/>
    </xf>
    <xf numFmtId="0" fontId="0" fillId="4" borderId="6" xfId="0" applyFill="1" applyBorder="1" applyAlignment="1">
      <alignment horizontal="left" vertical="center" wrapText="1"/>
    </xf>
    <xf numFmtId="0" fontId="10" fillId="0" borderId="39" xfId="0" applyFont="1" applyBorder="1" applyAlignment="1">
      <alignment horizontal="left"/>
    </xf>
    <xf numFmtId="0" fontId="0" fillId="0" borderId="40" xfId="0" applyBorder="1" applyAlignment="1">
      <alignment horizontal="left"/>
    </xf>
    <xf numFmtId="0" fontId="0" fillId="0" borderId="38" xfId="0" applyBorder="1" applyAlignment="1">
      <alignment horizontal="left"/>
    </xf>
    <xf numFmtId="0" fontId="0" fillId="11" borderId="8" xfId="0" applyFill="1" applyBorder="1" applyAlignment="1">
      <alignment wrapText="1"/>
    </xf>
    <xf numFmtId="0" fontId="0" fillId="0" borderId="8" xfId="0" applyBorder="1" applyAlignment="1">
      <alignment wrapText="1"/>
    </xf>
    <xf numFmtId="0" fontId="0" fillId="0" borderId="9" xfId="0" applyBorder="1" applyAlignment="1">
      <alignment wrapText="1"/>
    </xf>
    <xf numFmtId="0" fontId="15" fillId="0" borderId="0" xfId="0" applyFont="1" applyAlignment="1">
      <alignment wrapText="1"/>
    </xf>
    <xf numFmtId="0" fontId="0" fillId="0" borderId="0" xfId="0" applyAlignment="1">
      <alignment wrapText="1"/>
    </xf>
    <xf numFmtId="0" fontId="0" fillId="0" borderId="1" xfId="0" applyBorder="1"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0" xfId="0" applyAlignment="1">
      <alignment horizontal="left" vertical="top" wrapText="1"/>
    </xf>
    <xf numFmtId="0" fontId="0" fillId="0" borderId="12" xfId="0" applyBorder="1" applyAlignment="1">
      <alignment wrapText="1"/>
    </xf>
    <xf numFmtId="0" fontId="0" fillId="0" borderId="13" xfId="0" applyBorder="1" applyAlignment="1">
      <alignment wrapText="1"/>
    </xf>
    <xf numFmtId="0" fontId="0" fillId="0" borderId="14" xfId="0" applyBorder="1" applyAlignment="1">
      <alignment wrapText="1"/>
    </xf>
    <xf numFmtId="0" fontId="0" fillId="0" borderId="15" xfId="0" applyBorder="1" applyAlignment="1">
      <alignment wrapText="1"/>
    </xf>
    <xf numFmtId="0" fontId="0" fillId="0" borderId="16" xfId="0" applyBorder="1" applyAlignment="1">
      <alignment wrapText="1"/>
    </xf>
    <xf numFmtId="0" fontId="0" fillId="0" borderId="17" xfId="0" applyBorder="1" applyAlignment="1">
      <alignment wrapText="1"/>
    </xf>
    <xf numFmtId="0" fontId="0" fillId="0" borderId="18" xfId="0" applyBorder="1" applyAlignment="1">
      <alignment wrapText="1"/>
    </xf>
    <xf numFmtId="0" fontId="0" fillId="4" borderId="52" xfId="0" applyFill="1" applyBorder="1" applyAlignment="1" applyProtection="1">
      <alignment wrapText="1"/>
      <protection locked="0"/>
    </xf>
    <xf numFmtId="0" fontId="0" fillId="4" borderId="54" xfId="0" applyFill="1" applyBorder="1" applyAlignment="1" applyProtection="1">
      <alignment wrapText="1"/>
      <protection locked="0"/>
    </xf>
    <xf numFmtId="0" fontId="0" fillId="4" borderId="55" xfId="0" applyFill="1" applyBorder="1" applyAlignment="1" applyProtection="1">
      <alignment wrapText="1"/>
      <protection locked="0"/>
    </xf>
    <xf numFmtId="0" fontId="0" fillId="11" borderId="19" xfId="0" applyFill="1" applyBorder="1" applyAlignment="1" applyProtection="1">
      <alignment wrapText="1"/>
      <protection locked="0"/>
    </xf>
    <xf numFmtId="0" fontId="0" fillId="11" borderId="21" xfId="0" applyFill="1" applyBorder="1" applyAlignment="1" applyProtection="1">
      <alignment wrapText="1"/>
      <protection locked="0"/>
    </xf>
    <xf numFmtId="0" fontId="0" fillId="11" borderId="60" xfId="0" applyFill="1" applyBorder="1" applyAlignment="1" applyProtection="1">
      <alignment wrapText="1"/>
      <protection locked="0"/>
    </xf>
    <xf numFmtId="0" fontId="0" fillId="4" borderId="19" xfId="0" applyFill="1" applyBorder="1" applyAlignment="1" applyProtection="1">
      <alignment wrapText="1"/>
      <protection locked="0"/>
    </xf>
    <xf numFmtId="0" fontId="0" fillId="4" borderId="21" xfId="0" applyFill="1" applyBorder="1" applyAlignment="1" applyProtection="1">
      <alignment wrapText="1"/>
      <protection locked="0"/>
    </xf>
    <xf numFmtId="0" fontId="0" fillId="4" borderId="60" xfId="0" applyFill="1" applyBorder="1" applyAlignment="1" applyProtection="1">
      <alignment wrapText="1"/>
      <protection locked="0"/>
    </xf>
    <xf numFmtId="0" fontId="0" fillId="11" borderId="58" xfId="0" applyFill="1" applyBorder="1" applyAlignment="1" applyProtection="1">
      <alignment wrapText="1"/>
      <protection locked="0"/>
    </xf>
    <xf numFmtId="0" fontId="0" fillId="11" borderId="40" xfId="0" applyFill="1" applyBorder="1" applyAlignment="1" applyProtection="1">
      <alignment wrapText="1"/>
      <protection locked="0"/>
    </xf>
    <xf numFmtId="0" fontId="0" fillId="11" borderId="59" xfId="0" applyFill="1" applyBorder="1" applyAlignment="1" applyProtection="1">
      <alignment wrapText="1"/>
      <protection locked="0"/>
    </xf>
    <xf numFmtId="0" fontId="0" fillId="0" borderId="27" xfId="0" applyBorder="1" applyAlignment="1">
      <alignment horizontal="center"/>
    </xf>
    <xf numFmtId="0" fontId="0" fillId="0" borderId="41" xfId="0" applyBorder="1" applyAlignment="1">
      <alignment horizontal="center"/>
    </xf>
    <xf numFmtId="0" fontId="32" fillId="14" borderId="48" xfId="0" applyFont="1" applyFill="1" applyBorder="1" applyAlignment="1">
      <alignment horizontal="left" vertical="top" wrapText="1"/>
    </xf>
    <xf numFmtId="0" fontId="32" fillId="14" borderId="49" xfId="0" applyFont="1" applyFill="1" applyBorder="1" applyAlignment="1">
      <alignment horizontal="left" vertical="top" wrapText="1"/>
    </xf>
    <xf numFmtId="0" fontId="32" fillId="14" borderId="50" xfId="0" applyFont="1" applyFill="1" applyBorder="1" applyAlignment="1">
      <alignment horizontal="left" vertical="top" wrapText="1"/>
    </xf>
    <xf numFmtId="0" fontId="0" fillId="0" borderId="11" xfId="0" applyBorder="1" applyAlignment="1">
      <alignment horizontal="center" wrapText="1"/>
    </xf>
    <xf numFmtId="0" fontId="0" fillId="0" borderId="13" xfId="0" applyBorder="1" applyAlignment="1">
      <alignment horizontal="center" wrapText="1"/>
    </xf>
    <xf numFmtId="0" fontId="0" fillId="4" borderId="1" xfId="0" applyFill="1" applyBorder="1" applyAlignment="1">
      <alignment horizontal="center" wrapText="1"/>
    </xf>
    <xf numFmtId="0" fontId="0" fillId="4" borderId="3" xfId="0" applyFill="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34" xfId="0" applyBorder="1" applyAlignment="1">
      <alignment horizontal="center" wrapText="1"/>
    </xf>
    <xf numFmtId="0" fontId="0" fillId="0" borderId="35" xfId="0" applyBorder="1" applyAlignment="1">
      <alignment horizontal="center" wrapText="1"/>
    </xf>
    <xf numFmtId="0" fontId="0" fillId="0" borderId="36" xfId="0" applyBorder="1" applyAlignment="1">
      <alignment horizontal="center" wrapText="1"/>
    </xf>
    <xf numFmtId="0" fontId="38" fillId="0" borderId="11" xfId="0" applyFont="1" applyBorder="1" applyAlignment="1">
      <alignment vertical="center" wrapText="1"/>
    </xf>
    <xf numFmtId="0" fontId="39" fillId="0" borderId="12" xfId="0" applyFont="1" applyBorder="1" applyAlignment="1">
      <alignment vertical="center" wrapText="1"/>
    </xf>
    <xf numFmtId="0" fontId="39" fillId="0" borderId="13" xfId="0" applyFont="1" applyBorder="1" applyAlignment="1">
      <alignment vertical="center" wrapText="1"/>
    </xf>
    <xf numFmtId="0" fontId="39" fillId="0" borderId="14" xfId="0" applyFont="1" applyBorder="1" applyAlignment="1">
      <alignment vertical="center" wrapText="1"/>
    </xf>
    <xf numFmtId="0" fontId="39" fillId="0" borderId="0" xfId="0" applyFont="1" applyAlignment="1">
      <alignment vertical="center" wrapText="1"/>
    </xf>
    <xf numFmtId="0" fontId="39" fillId="0" borderId="15" xfId="0" applyFont="1" applyBorder="1" applyAlignment="1">
      <alignment vertical="center" wrapText="1"/>
    </xf>
    <xf numFmtId="0" fontId="39" fillId="0" borderId="16" xfId="0" applyFont="1" applyBorder="1" applyAlignment="1">
      <alignment vertical="center" wrapText="1"/>
    </xf>
    <xf numFmtId="0" fontId="39" fillId="0" borderId="17" xfId="0" applyFont="1" applyBorder="1" applyAlignment="1">
      <alignment vertical="center" wrapText="1"/>
    </xf>
    <xf numFmtId="0" fontId="39" fillId="0" borderId="18" xfId="0" applyFont="1" applyBorder="1" applyAlignment="1">
      <alignment vertical="center" wrapText="1"/>
    </xf>
    <xf numFmtId="0" fontId="13" fillId="0" borderId="34" xfId="0" applyFont="1" applyBorder="1" applyAlignment="1">
      <alignment horizontal="left"/>
    </xf>
    <xf numFmtId="0" fontId="17" fillId="0" borderId="35" xfId="0" applyFont="1" applyBorder="1" applyAlignment="1">
      <alignment horizontal="left"/>
    </xf>
    <xf numFmtId="0" fontId="17" fillId="4" borderId="35" xfId="0" applyFont="1" applyFill="1" applyBorder="1" applyAlignment="1">
      <alignment wrapText="1"/>
    </xf>
    <xf numFmtId="0" fontId="17" fillId="4" borderId="36" xfId="0" applyFont="1" applyFill="1" applyBorder="1" applyAlignment="1">
      <alignment wrapText="1"/>
    </xf>
    <xf numFmtId="0" fontId="13" fillId="0" borderId="5" xfId="0" applyFont="1" applyBorder="1" applyAlignment="1">
      <alignment horizontal="left"/>
    </xf>
    <xf numFmtId="0" fontId="17" fillId="0" borderId="4" xfId="0" applyFont="1" applyBorder="1" applyAlignment="1">
      <alignment horizontal="left"/>
    </xf>
    <xf numFmtId="0" fontId="17" fillId="11" borderId="4" xfId="0" applyFont="1" applyFill="1" applyBorder="1" applyAlignment="1">
      <alignment wrapText="1"/>
    </xf>
    <xf numFmtId="0" fontId="17" fillId="11" borderId="6" xfId="0" applyFont="1" applyFill="1" applyBorder="1" applyAlignment="1">
      <alignment wrapText="1"/>
    </xf>
    <xf numFmtId="0" fontId="17" fillId="4" borderId="4" xfId="0" applyFont="1" applyFill="1" applyBorder="1" applyAlignment="1">
      <alignment wrapText="1"/>
    </xf>
    <xf numFmtId="0" fontId="17" fillId="4" borderId="6" xfId="0" applyFont="1" applyFill="1" applyBorder="1" applyAlignment="1">
      <alignment wrapText="1"/>
    </xf>
    <xf numFmtId="0" fontId="17" fillId="4" borderId="4" xfId="0" applyFont="1" applyFill="1" applyBorder="1" applyAlignment="1">
      <alignment horizontal="left" vertical="center" wrapText="1"/>
    </xf>
    <xf numFmtId="0" fontId="17" fillId="4" borderId="6" xfId="0" applyFont="1" applyFill="1" applyBorder="1" applyAlignment="1">
      <alignment horizontal="left" vertical="center" wrapText="1"/>
    </xf>
    <xf numFmtId="0" fontId="13" fillId="0" borderId="7" xfId="0" applyFont="1" applyBorder="1" applyAlignment="1">
      <alignment horizontal="left"/>
    </xf>
    <xf numFmtId="0" fontId="0" fillId="0" borderId="8" xfId="0" applyBorder="1" applyAlignment="1">
      <alignment horizontal="left"/>
    </xf>
    <xf numFmtId="0" fontId="17" fillId="11" borderId="8" xfId="0" applyFont="1" applyFill="1" applyBorder="1" applyAlignment="1">
      <alignment wrapText="1"/>
    </xf>
    <xf numFmtId="0" fontId="0" fillId="11" borderId="9" xfId="0" applyFill="1" applyBorder="1" applyAlignment="1">
      <alignment wrapText="1"/>
    </xf>
    <xf numFmtId="0" fontId="13" fillId="0" borderId="0" xfId="0" applyFont="1" applyAlignment="1">
      <alignment horizontal="left" wrapText="1"/>
    </xf>
    <xf numFmtId="0" fontId="17" fillId="0" borderId="11" xfId="0" applyFont="1" applyBorder="1" applyAlignment="1">
      <alignment vertical="center"/>
    </xf>
    <xf numFmtId="0" fontId="17" fillId="0" borderId="14" xfId="0" applyFont="1" applyBorder="1" applyAlignment="1">
      <alignment vertical="center"/>
    </xf>
    <xf numFmtId="0" fontId="17" fillId="0" borderId="16" xfId="0" applyFont="1" applyBorder="1" applyAlignment="1">
      <alignment vertical="center"/>
    </xf>
    <xf numFmtId="0" fontId="26" fillId="0" borderId="12" xfId="0" applyFont="1" applyBorder="1" applyAlignment="1">
      <alignment vertical="center"/>
    </xf>
    <xf numFmtId="0" fontId="26" fillId="0" borderId="0" xfId="0" applyFont="1" applyAlignment="1">
      <alignment vertical="center"/>
    </xf>
    <xf numFmtId="0" fontId="17" fillId="0" borderId="0" xfId="0" applyFont="1" applyAlignment="1">
      <alignment vertical="center"/>
    </xf>
    <xf numFmtId="0" fontId="17" fillId="0" borderId="17" xfId="0" applyFont="1" applyBorder="1" applyAlignment="1">
      <alignment vertical="center"/>
    </xf>
    <xf numFmtId="0" fontId="17" fillId="0" borderId="12" xfId="0" applyFont="1" applyBorder="1" applyAlignment="1">
      <alignment vertical="center" wrapText="1"/>
    </xf>
    <xf numFmtId="0" fontId="17" fillId="0" borderId="0" xfId="0" applyFont="1" applyAlignment="1">
      <alignment vertical="center" wrapText="1"/>
    </xf>
    <xf numFmtId="0" fontId="17" fillId="0" borderId="17" xfId="0" applyFont="1" applyBorder="1" applyAlignment="1">
      <alignment vertical="center" wrapText="1"/>
    </xf>
    <xf numFmtId="0" fontId="17" fillId="0" borderId="13"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6" xfId="0" applyFont="1" applyBorder="1" applyAlignment="1">
      <alignment vertical="center"/>
    </xf>
    <xf numFmtId="0" fontId="26" fillId="0" borderId="0" xfId="0" applyFont="1" applyAlignment="1">
      <alignment horizontal="left" vertical="center" wrapText="1"/>
    </xf>
    <xf numFmtId="0" fontId="17" fillId="0" borderId="43" xfId="0" applyFont="1" applyBorder="1" applyAlignment="1">
      <alignment horizontal="center" vertical="center"/>
    </xf>
    <xf numFmtId="0" fontId="26" fillId="0" borderId="0" xfId="0" applyFont="1" applyAlignment="1">
      <alignment vertical="center" wrapText="1"/>
    </xf>
    <xf numFmtId="0" fontId="17" fillId="0" borderId="1" xfId="0" applyFont="1" applyBorder="1" applyAlignment="1">
      <alignment vertical="center" wrapText="1"/>
    </xf>
    <xf numFmtId="0" fontId="17" fillId="0" borderId="2" xfId="0" applyFont="1" applyBorder="1" applyAlignment="1">
      <alignment vertical="center" wrapText="1"/>
    </xf>
    <xf numFmtId="0" fontId="17" fillId="0" borderId="3" xfId="0" applyFont="1" applyBorder="1" applyAlignment="1">
      <alignment vertical="center" wrapText="1"/>
    </xf>
    <xf numFmtId="0" fontId="13" fillId="0" borderId="56" xfId="0" applyFont="1" applyBorder="1" applyAlignment="1">
      <alignment horizontal="left" vertical="center" wrapText="1"/>
    </xf>
    <xf numFmtId="0" fontId="0" fillId="0" borderId="56" xfId="0" applyBorder="1" applyAlignment="1">
      <alignment vertical="center" wrapText="1"/>
    </xf>
    <xf numFmtId="0" fontId="40" fillId="0" borderId="11" xfId="0" applyFont="1" applyBorder="1" applyAlignment="1">
      <alignment vertical="center" wrapText="1"/>
    </xf>
    <xf numFmtId="0" fontId="17" fillId="0" borderId="13" xfId="0" applyFont="1" applyBorder="1" applyAlignment="1">
      <alignment vertical="center" wrapText="1"/>
    </xf>
    <xf numFmtId="0" fontId="17" fillId="0" borderId="14" xfId="0" applyFont="1" applyBorder="1" applyAlignment="1">
      <alignment vertical="center" wrapText="1"/>
    </xf>
    <xf numFmtId="0" fontId="17" fillId="0" borderId="15" xfId="0" applyFont="1" applyBorder="1" applyAlignment="1">
      <alignment vertical="center" wrapText="1"/>
    </xf>
    <xf numFmtId="0" fontId="17" fillId="0" borderId="16" xfId="0" applyFont="1" applyBorder="1" applyAlignment="1">
      <alignment vertical="center" wrapText="1"/>
    </xf>
    <xf numFmtId="0" fontId="17" fillId="0" borderId="18" xfId="0" applyFont="1" applyBorder="1" applyAlignment="1">
      <alignment vertical="center" wrapText="1"/>
    </xf>
    <xf numFmtId="0" fontId="17" fillId="4" borderId="35" xfId="0" applyFont="1" applyFill="1" applyBorder="1" applyAlignment="1" applyProtection="1">
      <alignment wrapText="1"/>
      <protection locked="0"/>
    </xf>
    <xf numFmtId="0" fontId="17" fillId="4" borderId="36" xfId="0" applyFont="1" applyFill="1" applyBorder="1" applyAlignment="1" applyProtection="1">
      <alignment wrapText="1"/>
      <protection locked="0"/>
    </xf>
    <xf numFmtId="0" fontId="17" fillId="11" borderId="4" xfId="0" applyFont="1" applyFill="1" applyBorder="1" applyAlignment="1" applyProtection="1">
      <alignment wrapText="1"/>
      <protection locked="0"/>
    </xf>
    <xf numFmtId="0" fontId="17" fillId="11" borderId="6" xfId="0" applyFont="1" applyFill="1" applyBorder="1" applyAlignment="1" applyProtection="1">
      <alignment wrapText="1"/>
      <protection locked="0"/>
    </xf>
    <xf numFmtId="0" fontId="17" fillId="4" borderId="4" xfId="0" applyFont="1" applyFill="1" applyBorder="1" applyAlignment="1" applyProtection="1">
      <alignment wrapText="1"/>
      <protection locked="0"/>
    </xf>
    <xf numFmtId="0" fontId="17" fillId="4" borderId="6" xfId="0" applyFont="1" applyFill="1" applyBorder="1" applyAlignment="1" applyProtection="1">
      <alignment wrapText="1"/>
      <protection locked="0"/>
    </xf>
    <xf numFmtId="0" fontId="17" fillId="11" borderId="8" xfId="0" applyFont="1" applyFill="1" applyBorder="1" applyAlignment="1" applyProtection="1">
      <alignment wrapText="1"/>
      <protection locked="0"/>
    </xf>
    <xf numFmtId="0" fontId="15" fillId="0" borderId="0" xfId="0" applyFont="1" applyAlignment="1">
      <alignment horizontal="left" vertical="top" wrapText="1"/>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cellXfs>
  <cellStyles count="7">
    <cellStyle name="Comma" xfId="1" builtinId="3"/>
    <cellStyle name="Hyperlink" xfId="3" builtinId="8"/>
    <cellStyle name="Normal" xfId="0" builtinId="0"/>
    <cellStyle name="Percent" xfId="2" builtinId="5"/>
    <cellStyle name="Style 1" xfId="4" xr:uid="{1A443F8E-91BB-4EDC-AF18-8225F8109CC6}"/>
    <cellStyle name="Style 2" xfId="5" xr:uid="{2BEFDB97-2735-44F3-B2D5-A0F9E749D7C5}"/>
    <cellStyle name="Style 3" xfId="6" xr:uid="{1167152E-949F-4C00-9F95-9016933BD6F7}"/>
  </cellStyles>
  <dxfs count="467">
    <dxf>
      <fill>
        <patternFill>
          <bgColor rgb="FF00B050"/>
        </patternFill>
      </fill>
    </dxf>
    <dxf>
      <fill>
        <patternFill>
          <bgColor rgb="FFFF0000"/>
        </patternFill>
      </fill>
    </dxf>
    <dxf>
      <fill>
        <patternFill>
          <bgColor theme="5" tint="0.59996337778862885"/>
        </patternFill>
      </fill>
    </dxf>
    <dxf>
      <fill>
        <patternFill>
          <bgColor rgb="FF00B050"/>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FFC000"/>
        </patternFill>
      </fill>
    </dxf>
    <dxf>
      <font>
        <color rgb="FFDD0806"/>
      </font>
      <fill>
        <patternFill patternType="none"/>
      </fill>
      <border>
        <left/>
        <right/>
        <top/>
        <bottom/>
      </border>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4747"/>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34998626667073579"/>
      </font>
      <fill>
        <patternFill patternType="lightUp">
          <fgColor theme="0"/>
          <bgColor theme="0" tint="-0.14996795556505021"/>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theme="5" tint="0.59996337778862885"/>
        </patternFill>
      </fill>
    </dxf>
    <dxf>
      <fill>
        <patternFill>
          <bgColor theme="5"/>
        </patternFill>
      </fill>
    </dxf>
    <dxf>
      <fill>
        <patternFill>
          <bgColor rgb="FF00B050"/>
        </patternFill>
      </fill>
    </dxf>
    <dxf>
      <fill>
        <patternFill>
          <bgColor rgb="FFFF0000"/>
        </patternFill>
      </fill>
    </dxf>
    <dxf>
      <fill>
        <patternFill>
          <bgColor rgb="FFFFC000"/>
        </patternFill>
      </fill>
    </dxf>
    <dxf>
      <font>
        <color rgb="FFDD0806"/>
      </font>
      <fill>
        <patternFill patternType="none"/>
      </fill>
      <border>
        <left/>
        <right/>
        <top/>
        <bottom/>
      </border>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4747"/>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patternType="lightUp">
          <fgColor theme="0"/>
          <bgColor theme="0" tint="-0.499984740745262"/>
        </patternFill>
      </fill>
    </dxf>
    <dxf>
      <fill>
        <patternFill>
          <bgColor theme="5" tint="0.59996337778862885"/>
        </patternFill>
      </fill>
    </dxf>
    <dxf>
      <fill>
        <patternFill>
          <bgColor rgb="FFFF0000"/>
        </patternFill>
      </fill>
    </dxf>
    <dxf>
      <fill>
        <patternFill>
          <bgColor rgb="FF00B050"/>
        </patternFill>
      </fill>
    </dxf>
    <dxf>
      <fill>
        <patternFill>
          <bgColor theme="5" tint="0.59996337778862885"/>
        </patternFill>
      </fill>
    </dxf>
    <dxf>
      <fill>
        <patternFill>
          <bgColor rgb="FF00B050"/>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theme="7"/>
        </patternFill>
      </fill>
    </dxf>
    <dxf>
      <font>
        <color rgb="FFDD0806"/>
      </font>
      <fill>
        <patternFill patternType="none"/>
      </fill>
      <border>
        <left/>
        <right/>
        <top/>
        <bottom/>
      </border>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7D7D"/>
        </patternFill>
      </fill>
    </dxf>
    <dxf>
      <fill>
        <patternFill>
          <bgColor rgb="FFFF7D7D"/>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0000"/>
        </patternFill>
      </fill>
    </dxf>
    <dxf>
      <font>
        <color theme="0" tint="-0.499984740745262"/>
      </font>
      <fill>
        <patternFill patternType="lightUp">
          <fgColor theme="0"/>
          <bgColor theme="0" tint="-0.34998626667073579"/>
        </patternFill>
      </fill>
    </dxf>
    <dxf>
      <font>
        <color theme="0" tint="-0.34998626667073579"/>
      </font>
      <fill>
        <patternFill patternType="lightUp">
          <fgColor theme="0"/>
          <bgColor theme="0" tint="-0.14996795556505021"/>
        </patternFill>
      </fill>
    </dxf>
    <dxf>
      <fill>
        <patternFill>
          <bgColor theme="5"/>
        </patternFill>
      </fill>
    </dxf>
    <dxf>
      <fill>
        <patternFill>
          <bgColor rgb="FF00B050"/>
        </patternFill>
      </fill>
    </dxf>
    <dxf>
      <fill>
        <patternFill>
          <bgColor rgb="FFFF0000"/>
        </patternFill>
      </fill>
    </dxf>
    <dxf>
      <fill>
        <patternFill>
          <bgColor theme="5" tint="0.59996337778862885"/>
        </patternFill>
      </fill>
    </dxf>
    <dxf>
      <fill>
        <patternFill>
          <bgColor rgb="FF00B050"/>
        </patternFill>
      </fill>
    </dxf>
    <dxf>
      <fill>
        <patternFill>
          <bgColor rgb="FFFF0000"/>
        </patternFill>
      </fill>
    </dxf>
    <dxf>
      <fill>
        <patternFill>
          <bgColor theme="5" tint="0.59996337778862885"/>
        </patternFill>
      </fill>
    </dxf>
    <dxf>
      <fill>
        <patternFill>
          <bgColor rgb="FF00B050"/>
        </patternFill>
      </fill>
    </dxf>
    <dxf>
      <fill>
        <patternFill>
          <bgColor rgb="FFFF0000"/>
        </patternFill>
      </fill>
    </dxf>
    <dxf>
      <fill>
        <patternFill>
          <bgColor theme="7"/>
        </patternFill>
      </fill>
    </dxf>
    <dxf>
      <font>
        <color rgb="FFDD0806"/>
      </font>
      <fill>
        <patternFill patternType="none"/>
      </fill>
      <border>
        <left/>
        <right/>
        <top/>
        <bottom/>
      </border>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7D7D"/>
        </patternFill>
      </fill>
    </dxf>
    <dxf>
      <fill>
        <patternFill>
          <bgColor rgb="FF00B050"/>
        </patternFill>
      </fill>
    </dxf>
    <dxf>
      <fill>
        <patternFill>
          <bgColor rgb="FFFF7D7D"/>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499984740745262"/>
      </font>
      <fill>
        <patternFill patternType="lightUp">
          <fgColor theme="0"/>
          <bgColor theme="0" tint="-0.34998626667073579"/>
        </patternFill>
      </fill>
    </dxf>
    <dxf>
      <font>
        <color theme="0" tint="-0.499984740745262"/>
      </font>
      <fill>
        <patternFill patternType="lightUp">
          <fgColor theme="0"/>
          <bgColor theme="0" tint="-0.34998626667073579"/>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dxf>
    <dxf>
      <numFmt numFmtId="0" formatCode="General"/>
      <fill>
        <patternFill patternType="solid">
          <fgColor indexed="64"/>
          <bgColor theme="1"/>
        </patternFill>
      </fill>
    </dxf>
    <dxf>
      <numFmt numFmtId="0" formatCode="General"/>
    </dxf>
    <dxf>
      <fill>
        <patternFill patternType="solid">
          <fgColor indexed="64"/>
          <bgColor theme="1"/>
        </patternFill>
      </fill>
      <alignment horizontal="center" vertical="center" textRotation="0" wrapText="1" indent="0" justifyLastLine="0" shrinkToFit="0" readingOrder="0"/>
      <border diagonalUp="0" diagonalDown="0" outline="0">
        <left style="thin">
          <color indexed="64"/>
        </left>
        <right style="thin">
          <color indexed="64"/>
        </right>
        <top/>
        <bottom/>
      </border>
    </dxf>
    <dxf>
      <numFmt numFmtId="0" formatCode="General"/>
    </dxf>
    <dxf>
      <numFmt numFmtId="0" formatCode="General"/>
    </dxf>
    <dxf>
      <numFmt numFmtId="0" formatCode="General"/>
    </dxf>
    <dxf>
      <fill>
        <patternFill patternType="solid">
          <fgColor indexed="64"/>
          <bgColor theme="1"/>
        </patternFill>
      </fill>
      <alignment horizontal="center" vertical="center" textRotation="0" wrapText="1" indent="0" justifyLastLine="0" shrinkToFit="0" readingOrder="0"/>
      <border diagonalUp="0" diagonalDown="0" outline="0">
        <left style="thin">
          <color indexed="64"/>
        </left>
        <right style="thin">
          <color indexed="64"/>
        </right>
        <top/>
        <bottom/>
      </border>
    </dxf>
    <dxf>
      <numFmt numFmtId="2" formatCode="0.00"/>
      <alignment horizontal="general" vertical="center" textRotation="0" wrapText="0" indent="0" justifyLastLine="0" shrinkToFit="0" readingOrder="0"/>
    </dxf>
    <dxf>
      <numFmt numFmtId="2" formatCode="0.00"/>
      <alignment horizontal="general" vertical="center" textRotation="0" wrapText="0" indent="0" justifyLastLine="0" shrinkToFit="0" readingOrder="0"/>
    </dxf>
    <dxf>
      <numFmt numFmtId="2" formatCode="0.00"/>
      <alignment horizontal="general" vertical="center" textRotation="0" wrapText="0" indent="0" justifyLastLine="0" shrinkToFit="0" readingOrder="0"/>
    </dxf>
    <dxf>
      <numFmt numFmtId="2" formatCode="0.00"/>
      <alignment horizontal="general" vertical="center" textRotation="0" wrapText="0" indent="0" justifyLastLine="0" shrinkToFit="0" readingOrder="0"/>
    </dxf>
    <dxf>
      <numFmt numFmtId="2" formatCode="0.00"/>
      <alignment horizontal="general" vertical="center" textRotation="0" wrapText="0" indent="0" justifyLastLine="0" shrinkToFit="0" readingOrder="0"/>
    </dxf>
    <dxf>
      <numFmt numFmtId="2" formatCode="0.00"/>
      <alignment horizontal="general" vertical="center" textRotation="0" wrapText="0" indent="0" justifyLastLine="0" shrinkToFit="0" readingOrder="0"/>
    </dxf>
    <dxf>
      <numFmt numFmtId="2" formatCode="0.00"/>
      <alignment horizontal="general" vertical="center" textRotation="0" wrapText="0" indent="0" justifyLastLine="0" shrinkToFit="0" readingOrder="0"/>
    </dxf>
    <dxf>
      <numFmt numFmtId="2" formatCode="0.00"/>
      <alignment horizontal="general" vertical="center" textRotation="0" wrapText="0" indent="0" justifyLastLine="0" shrinkToFit="0" readingOrder="0"/>
    </dxf>
    <dxf>
      <numFmt numFmtId="0" formatCode="General"/>
    </dxf>
    <dxf>
      <numFmt numFmtId="0" formatCode="General"/>
    </dxf>
    <dxf>
      <numFmt numFmtId="0" formatCode="Genera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alignment horizontal="general" vertical="center" textRotation="0" wrapText="0" indent="0" justifyLastLine="0" shrinkToFit="0" readingOrder="0"/>
      <protection locked="0" hidden="0"/>
    </dxf>
    <dxf>
      <numFmt numFmtId="0" formatCode="General"/>
      <alignment horizontal="general" vertical="center" textRotation="0" wrapText="0" indent="0" justifyLastLine="0" shrinkToFit="0" readingOrder="0"/>
      <protection locked="0" hidden="0"/>
    </dxf>
    <dxf>
      <numFmt numFmtId="0" formatCode="General"/>
    </dxf>
    <dxf>
      <numFmt numFmtId="0" formatCode="General"/>
    </dxf>
    <dxf>
      <fill>
        <patternFill patternType="solid">
          <fgColor indexed="64"/>
          <bgColor theme="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4" tint="-0.249977111117893"/>
        <name val="Arial"/>
        <family val="2"/>
        <scheme val="none"/>
      </font>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4" tint="-0.249977111117893"/>
        <name val="Arial"/>
        <family val="2"/>
        <scheme val="none"/>
      </font>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outline val="0"/>
        <shadow val="0"/>
        <u val="none"/>
        <vertAlign val="baseline"/>
        <sz val="12"/>
        <name val="Arial"/>
        <family val="2"/>
        <scheme val="none"/>
      </font>
      <protection locked="0" hidden="0"/>
    </dxf>
    <dxf>
      <font>
        <outline val="0"/>
        <shadow val="0"/>
        <u val="none"/>
        <vertAlign val="baseline"/>
        <sz val="12"/>
        <name val="Arial"/>
        <family val="2"/>
        <scheme val="none"/>
      </font>
      <protection locked="0" hidden="0"/>
    </dxf>
    <dxf>
      <font>
        <outline val="0"/>
        <shadow val="0"/>
        <u val="none"/>
        <vertAlign val="baseline"/>
        <sz val="12"/>
        <name val="Arial"/>
        <family val="2"/>
        <scheme val="none"/>
      </font>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outline val="0"/>
        <shadow val="0"/>
        <u val="none"/>
        <vertAlign val="baseline"/>
        <sz val="12"/>
        <name val="Arial"/>
        <family val="2"/>
        <scheme val="none"/>
      </font>
      <protection locked="0" hidden="0"/>
    </dxf>
    <dxf>
      <border outline="0">
        <bottom style="thin">
          <color indexed="64"/>
        </bottom>
      </border>
    </dxf>
    <dxf>
      <font>
        <b val="0"/>
        <i val="0"/>
        <strike val="0"/>
        <condense val="0"/>
        <extend val="0"/>
        <outline val="0"/>
        <shadow val="0"/>
        <u val="none"/>
        <vertAlign val="baseline"/>
        <sz val="12"/>
        <color theme="4" tint="-0.249977111117893"/>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outline val="0"/>
        <shadow val="0"/>
        <u val="none"/>
        <vertAlign val="baseline"/>
        <sz val="12"/>
        <name val="Arial"/>
        <family val="2"/>
        <scheme val="none"/>
      </font>
      <numFmt numFmtId="13" formatCode="0%"/>
      <fill>
        <patternFill patternType="none">
          <fgColor indexed="64"/>
          <bgColor auto="1"/>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1" hidden="0"/>
    </dxf>
    <dxf>
      <font>
        <outline val="0"/>
        <shadow val="0"/>
        <u val="none"/>
        <vertAlign val="baseline"/>
        <sz val="12"/>
        <name val="Arial"/>
        <family val="2"/>
        <scheme val="none"/>
      </font>
      <numFmt numFmtId="0" formatCode="General"/>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2"/>
        <color theme="1"/>
        <name val="Arial"/>
        <family val="2"/>
        <scheme val="none"/>
      </font>
      <numFmt numFmtId="164" formatCode="_(* #,##0_);_(* \(#,##0\);_(* &quot;-&quot;??_);_(@_)"/>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2"/>
        <color theme="1"/>
        <name val="Arial"/>
        <family val="2"/>
        <scheme val="none"/>
      </font>
      <numFmt numFmtId="164"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2"/>
        <color theme="1"/>
        <name val="Arial"/>
        <family val="2"/>
        <scheme val="none"/>
      </font>
      <numFmt numFmtId="164"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2"/>
        <color theme="1"/>
        <name val="Arial"/>
        <family val="2"/>
        <scheme val="none"/>
      </font>
      <numFmt numFmtId="164" formatCode="_(* #,##0_);_(* \(#,##0\);_(* &quot;-&quot;??_);_(@_)"/>
      <fill>
        <patternFill patternType="none">
          <fgColor indexed="64"/>
          <bgColor auto="1"/>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outline val="0"/>
        <shadow val="0"/>
        <u val="none"/>
        <vertAlign val="baseline"/>
        <sz val="12"/>
        <name val="Arial"/>
        <family val="2"/>
        <scheme val="none"/>
      </font>
      <fill>
        <patternFill patternType="none">
          <fgColor indexed="64"/>
          <bgColor auto="1"/>
        </patternFill>
      </fill>
      <protection locked="1" hidden="0"/>
    </dxf>
    <dxf>
      <border>
        <bottom style="thin">
          <color indexed="64"/>
        </bottom>
      </border>
    </dxf>
    <dxf>
      <font>
        <outline val="0"/>
        <shadow val="0"/>
        <u val="none"/>
        <vertAlign val="baseline"/>
        <sz val="12"/>
        <name val="Arial"/>
        <family val="2"/>
        <scheme val="none"/>
      </font>
      <alignment horizontal="general"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ont>
        <outline val="0"/>
        <shadow val="0"/>
        <u val="none"/>
        <vertAlign val="baseline"/>
        <sz val="12"/>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rgb="FFFFFF0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outline val="0"/>
        <shadow val="0"/>
        <u val="none"/>
        <vertAlign val="baseline"/>
        <sz val="12"/>
        <name val="Arial"/>
        <family val="2"/>
        <scheme val="none"/>
      </font>
      <fill>
        <patternFill patternType="solid">
          <fgColor indexed="64"/>
          <bgColor rgb="FFFFFF0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outline val="0"/>
        <shadow val="0"/>
        <u val="none"/>
        <vertAlign val="baseline"/>
        <sz val="12"/>
        <name val="Arial"/>
        <family val="2"/>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outline val="0"/>
        <shadow val="0"/>
        <u val="none"/>
        <vertAlign val="baseline"/>
        <sz val="12"/>
        <name val="Arial"/>
        <family val="2"/>
        <scheme val="none"/>
      </font>
      <numFmt numFmtId="0" formatCode="General"/>
      <fill>
        <patternFill patternType="solid">
          <fgColor indexed="64"/>
          <bgColor rgb="FFFFFF0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outline val="0"/>
        <shadow val="0"/>
        <u val="none"/>
        <vertAlign val="baseline"/>
        <sz val="12"/>
        <color auto="1"/>
        <name val="Arial"/>
        <family val="2"/>
        <scheme val="none"/>
      </font>
      <numFmt numFmtId="1" formatCode="0"/>
      <fill>
        <patternFill patternType="solid">
          <fgColor indexed="64"/>
          <bgColor rgb="FFFFFF0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Arial"/>
        <family val="2"/>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outline val="0"/>
        <shadow val="0"/>
        <u val="none"/>
        <vertAlign val="baseline"/>
        <sz val="12"/>
        <name val="Arial"/>
        <family val="2"/>
        <scheme val="none"/>
      </font>
      <numFmt numFmtId="35" formatCode="_(* #,##0.00_);_(* \(#,##0.00\);_(* &quot;-&quot;??_);_(@_)"/>
      <fill>
        <patternFill patternType="solid">
          <fgColor indexed="64"/>
          <bgColor rgb="FFFFFF0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outline val="0"/>
        <shadow val="0"/>
        <u val="none"/>
        <vertAlign val="baseline"/>
        <sz val="12"/>
        <name val="Arial"/>
        <family val="2"/>
        <scheme val="none"/>
      </font>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fill>
        <patternFill patternType="solid">
          <fgColor indexed="64"/>
          <bgColor rgb="FFFFFF0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outline val="0"/>
        <shadow val="0"/>
        <u val="none"/>
        <vertAlign val="baseline"/>
        <sz val="12"/>
        <name val="Arial"/>
        <family val="2"/>
        <scheme val="none"/>
      </font>
      <fill>
        <patternFill patternType="solid">
          <fgColor indexed="64"/>
          <bgColor rgb="FFFFFF00"/>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border>
      <protection locked="0" hidden="0"/>
    </dxf>
    <dxf>
      <font>
        <outline val="0"/>
        <shadow val="0"/>
        <u val="none"/>
        <vertAlign val="baseline"/>
        <sz val="12"/>
        <name val="Arial"/>
        <family val="2"/>
        <scheme val="none"/>
      </font>
      <fill>
        <patternFill patternType="solid">
          <fgColor indexed="64"/>
          <bgColor rgb="FFFFFF00"/>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border>
      <protection locked="0" hidden="0"/>
    </dxf>
    <dxf>
      <border diagonalUp="0" diagonalDown="0">
        <left style="medium">
          <color indexed="64"/>
        </left>
        <right style="medium">
          <color indexed="64"/>
        </right>
        <top style="medium">
          <color indexed="64"/>
        </top>
        <bottom style="medium">
          <color indexed="64"/>
        </bottom>
      </border>
    </dxf>
    <dxf>
      <font>
        <outline val="0"/>
        <shadow val="0"/>
        <u val="none"/>
        <vertAlign val="baseline"/>
        <sz val="12"/>
        <name val="Arial"/>
        <family val="2"/>
        <scheme val="none"/>
      </font>
      <fill>
        <patternFill patternType="none">
          <fgColor indexed="64"/>
          <bgColor auto="1"/>
        </patternFill>
      </fill>
      <alignment horizontal="center" vertical="center" textRotation="0" wrapText="0" indent="0" justifyLastLine="0" shrinkToFit="0" readingOrder="0"/>
      <protection locked="1" hidden="0"/>
    </dxf>
    <dxf>
      <font>
        <outline val="0"/>
        <shadow val="0"/>
        <u val="none"/>
        <vertAlign val="baseline"/>
        <sz val="12"/>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2"/>
        <color theme="4" tint="-0.249977111117893"/>
        <name val="Arial"/>
        <family val="2"/>
        <scheme val="none"/>
      </font>
      <numFmt numFmtId="0" formatCode="General"/>
      <alignment horizontal="general" vertical="center" textRotation="0" wrapText="0"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2"/>
        <color theme="4" tint="-0.249977111117893"/>
        <name val="Arial"/>
        <family val="2"/>
        <scheme val="none"/>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outline val="0"/>
        <shadow val="0"/>
        <u val="none"/>
        <vertAlign val="baseline"/>
        <sz val="12"/>
        <name val="Arial"/>
        <family val="2"/>
        <scheme val="none"/>
      </font>
      <protection locked="1" hidden="0"/>
    </dxf>
    <dxf>
      <font>
        <outline val="0"/>
        <shadow val="0"/>
        <u val="none"/>
        <vertAlign val="baseline"/>
        <sz val="12"/>
        <name val="Arial"/>
        <family val="2"/>
        <scheme val="none"/>
      </font>
      <protection locked="1" hidden="0"/>
    </dxf>
    <dxf>
      <font>
        <outline val="0"/>
        <shadow val="0"/>
        <u val="none"/>
        <vertAlign val="baseline"/>
        <sz val="12"/>
        <name val="Arial"/>
        <family val="2"/>
        <scheme val="none"/>
      </font>
      <protection locked="1" hidden="0"/>
    </dxf>
    <dxf>
      <border outline="0">
        <top style="thin">
          <color indexed="64"/>
        </top>
      </border>
    </dxf>
    <dxf>
      <border outline="0">
        <left style="thin">
          <color indexed="64"/>
        </left>
        <right style="thin">
          <color indexed="64"/>
        </right>
        <top style="thin">
          <color indexed="64"/>
        </top>
        <bottom style="thin">
          <color indexed="64"/>
        </bottom>
      </border>
    </dxf>
    <dxf>
      <font>
        <outline val="0"/>
        <shadow val="0"/>
        <u val="none"/>
        <vertAlign val="baseline"/>
        <sz val="12"/>
        <name val="Arial"/>
        <family val="2"/>
        <scheme val="none"/>
      </font>
      <protection locked="1" hidden="0"/>
    </dxf>
    <dxf>
      <border outline="0">
        <bottom style="thin">
          <color indexed="64"/>
        </bottom>
      </border>
    </dxf>
    <dxf>
      <font>
        <b val="0"/>
        <i val="0"/>
        <strike val="0"/>
        <condense val="0"/>
        <extend val="0"/>
        <outline val="0"/>
        <shadow val="0"/>
        <u val="none"/>
        <vertAlign val="baseline"/>
        <sz val="12"/>
        <color theme="4" tint="-0.249977111117893"/>
        <name val="Arial"/>
        <family val="2"/>
        <scheme val="none"/>
      </font>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outline val="0"/>
        <shadow val="0"/>
        <u val="none"/>
        <vertAlign val="baseline"/>
        <sz val="12"/>
        <name val="Arial"/>
        <family val="2"/>
        <scheme val="none"/>
      </font>
      <fill>
        <patternFill patternType="none">
          <fgColor indexed="64"/>
          <bgColor auto="1"/>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1" hidden="0"/>
    </dxf>
    <dxf>
      <font>
        <outline val="0"/>
        <shadow val="0"/>
        <u val="none"/>
        <vertAlign val="baseline"/>
        <sz val="12"/>
        <name val="Arial"/>
        <family val="2"/>
        <scheme val="none"/>
      </font>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2"/>
        <color theme="1"/>
        <name val="Arial"/>
        <family val="2"/>
        <scheme val="none"/>
      </font>
      <numFmt numFmtId="164"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2"/>
        <color theme="1"/>
        <name val="Arial"/>
        <family val="2"/>
        <scheme val="none"/>
      </font>
      <numFmt numFmtId="164"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2"/>
        <color theme="1"/>
        <name val="Arial"/>
        <family val="2"/>
        <scheme val="none"/>
      </font>
      <numFmt numFmtId="164" formatCode="_(* #,##0_);_(* \(#,##0\);_(* &quot;-&quot;??_);_(@_)"/>
      <fill>
        <patternFill patternType="none">
          <fgColor indexed="64"/>
          <bgColor auto="1"/>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outline val="0"/>
        <shadow val="0"/>
        <u val="none"/>
        <vertAlign val="baseline"/>
        <sz val="12"/>
        <name val="Arial"/>
        <family val="2"/>
        <scheme val="none"/>
      </font>
      <fill>
        <patternFill patternType="none">
          <fgColor indexed="64"/>
          <bgColor auto="1"/>
        </patternFill>
      </fill>
      <protection locked="1" hidden="0"/>
    </dxf>
    <dxf>
      <border>
        <bottom style="thin">
          <color indexed="64"/>
        </bottom>
      </border>
    </dxf>
    <dxf>
      <font>
        <outline val="0"/>
        <shadow val="0"/>
        <u val="none"/>
        <vertAlign val="baseline"/>
        <sz val="12"/>
        <name val="Arial"/>
        <family val="2"/>
        <scheme val="none"/>
      </font>
      <alignment horizontal="general"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ont>
        <outline val="0"/>
        <shadow val="0"/>
        <u val="none"/>
        <vertAlign val="baseline"/>
        <sz val="12"/>
        <name val="Arial"/>
        <family val="2"/>
        <scheme val="none"/>
      </font>
      <numFmt numFmtId="0" formatCode="General"/>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font>
        <outline val="0"/>
        <shadow val="0"/>
        <u val="none"/>
        <vertAlign val="baseline"/>
        <sz val="12"/>
        <name val="Arial"/>
        <family val="2"/>
        <scheme val="none"/>
      </font>
      <numFmt numFmtId="0" formatCode="General"/>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outline val="0"/>
        <shadow val="0"/>
        <u val="none"/>
        <vertAlign val="baseline"/>
        <sz val="12"/>
        <name val="Arial"/>
        <family val="2"/>
        <scheme val="none"/>
      </font>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outline val="0"/>
        <shadow val="0"/>
        <u val="none"/>
        <vertAlign val="baseline"/>
        <sz val="12"/>
        <name val="Arial"/>
        <family val="2"/>
        <scheme val="none"/>
      </font>
      <fill>
        <patternFill patternType="solid">
          <fgColor indexed="64"/>
          <bgColor rgb="FFFFFF0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outline val="0"/>
        <shadow val="0"/>
        <u val="none"/>
        <vertAlign val="baseline"/>
        <sz val="12"/>
        <name val="Arial"/>
        <family val="2"/>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outline val="0"/>
        <shadow val="0"/>
        <u val="none"/>
        <vertAlign val="baseline"/>
        <sz val="12"/>
        <name val="Arial"/>
        <family val="2"/>
        <scheme val="none"/>
      </font>
      <fill>
        <patternFill patternType="solid">
          <fgColor indexed="64"/>
          <bgColor rgb="FFFFFF0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Arial"/>
        <family val="2"/>
        <scheme val="none"/>
      </font>
      <numFmt numFmtId="1" formatCode="0"/>
      <fill>
        <patternFill patternType="solid">
          <fgColor indexed="64"/>
          <bgColor rgb="FFFFFF0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outline val="0"/>
        <shadow val="0"/>
        <u val="none"/>
        <vertAlign val="baseline"/>
        <sz val="12"/>
        <name val="Arial"/>
        <family val="2"/>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outline val="0"/>
        <shadow val="0"/>
        <u val="none"/>
        <vertAlign val="baseline"/>
        <sz val="12"/>
        <name val="Arial"/>
        <family val="2"/>
        <scheme val="none"/>
      </font>
      <fill>
        <patternFill patternType="solid">
          <fgColor indexed="64"/>
          <bgColor rgb="FFFFFF0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rial"/>
        <family val="2"/>
        <scheme val="none"/>
      </font>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outline val="0"/>
        <shadow val="0"/>
        <u val="none"/>
        <vertAlign val="baseline"/>
        <sz val="12"/>
        <name val="Arial"/>
        <family val="2"/>
        <scheme val="none"/>
      </font>
      <fill>
        <patternFill patternType="solid">
          <fgColor indexed="64"/>
          <bgColor rgb="FFFFFF0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outline val="0"/>
        <shadow val="0"/>
        <u val="none"/>
        <vertAlign val="baseline"/>
        <sz val="12"/>
        <name val="Arial"/>
        <family val="2"/>
        <scheme val="none"/>
      </font>
      <fill>
        <patternFill patternType="solid">
          <fgColor indexed="64"/>
          <bgColor rgb="FFFFFF0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outline val="0"/>
        <shadow val="0"/>
        <u val="none"/>
        <vertAlign val="baseline"/>
        <sz val="12"/>
        <name val="Arial"/>
        <family val="2"/>
        <scheme val="none"/>
      </font>
      <fill>
        <patternFill patternType="solid">
          <fgColor indexed="64"/>
          <bgColor rgb="FFFFFF00"/>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border>
      <protection locked="0" hidden="0"/>
    </dxf>
    <dxf>
      <border>
        <top style="thin">
          <color indexed="64"/>
        </top>
      </border>
    </dxf>
    <dxf>
      <border diagonalUp="0" diagonalDown="0">
        <left style="medium">
          <color indexed="64"/>
        </left>
        <right style="medium">
          <color indexed="64"/>
        </right>
        <top style="medium">
          <color indexed="64"/>
        </top>
        <bottom style="medium">
          <color indexed="64"/>
        </bottom>
      </border>
    </dxf>
    <dxf>
      <font>
        <outline val="0"/>
        <shadow val="0"/>
        <u val="none"/>
        <vertAlign val="baseline"/>
        <sz val="12"/>
        <name val="Arial"/>
        <family val="2"/>
        <scheme val="none"/>
      </font>
      <fill>
        <patternFill patternType="none">
          <fgColor indexed="64"/>
          <bgColor auto="1"/>
        </patternFill>
      </fill>
      <protection locked="1" hidden="0"/>
    </dxf>
    <dxf>
      <border>
        <bottom style="thin">
          <color indexed="64"/>
        </bottom>
      </border>
    </dxf>
    <dxf>
      <font>
        <outline val="0"/>
        <shadow val="0"/>
        <u val="none"/>
        <vertAlign val="baseline"/>
        <sz val="12"/>
        <name val="Arial"/>
        <family val="2"/>
        <scheme val="none"/>
      </font>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outline val="0"/>
        <shadow val="0"/>
        <u val="none"/>
        <vertAlign val="baseline"/>
        <sz val="12"/>
        <name val="Arial"/>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outline val="0"/>
        <shadow val="0"/>
        <u val="none"/>
        <vertAlign val="baseline"/>
        <sz val="12"/>
        <name val="Arial"/>
        <family val="2"/>
        <scheme val="none"/>
      </font>
      <numFmt numFmtId="0" formatCode="General"/>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outline val="0"/>
        <shadow val="0"/>
        <u val="none"/>
        <vertAlign val="baseline"/>
        <sz val="12"/>
        <name val="Arial"/>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rial"/>
        <family val="2"/>
        <scheme val="none"/>
      </font>
      <numFmt numFmtId="1" formatCode="0"/>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outline val="0"/>
        <shadow val="0"/>
        <u val="none"/>
        <vertAlign val="baseline"/>
        <sz val="12"/>
        <name val="Arial"/>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border diagonalUp="0" diagonalDown="0">
        <left style="medium">
          <color indexed="64"/>
        </left>
        <right style="medium">
          <color indexed="64"/>
        </right>
        <top style="medium">
          <color indexed="64"/>
        </top>
        <bottom style="medium">
          <color indexed="64"/>
        </bottom>
      </border>
    </dxf>
    <dxf>
      <font>
        <outline val="0"/>
        <shadow val="0"/>
        <u val="none"/>
        <vertAlign val="baseline"/>
        <sz val="12"/>
        <name val="Arial"/>
        <family val="2"/>
        <scheme val="none"/>
      </font>
      <alignment horizontal="general" vertical="center" textRotation="0" wrapText="1" indent="0" justifyLastLine="0" shrinkToFit="0" readingOrder="0"/>
      <protection locked="1" hidden="0"/>
    </dxf>
    <dxf>
      <font>
        <outline val="0"/>
        <shadow val="0"/>
        <u val="none"/>
        <vertAlign val="baseline"/>
        <sz val="12"/>
        <name val="Arial"/>
        <family val="2"/>
        <scheme val="none"/>
      </font>
      <alignment horizontal="general" vertical="center" textRotation="0" wrapText="1" indent="0" justifyLastLine="0" shrinkToFit="0" readingOrder="0"/>
      <protection locked="1" hidden="0"/>
    </dxf>
    <dxf>
      <font>
        <outline val="0"/>
        <shadow val="0"/>
        <u val="none"/>
        <vertAlign val="baseline"/>
        <sz val="12"/>
        <name val="Arial"/>
        <family val="2"/>
        <scheme val="none"/>
      </font>
      <alignment horizontal="general" vertical="center" textRotation="0" wrapText="0" indent="0" justifyLastLine="0" shrinkToFit="0" readingOrder="0"/>
      <border diagonalUp="0" diagonalDown="0">
        <left style="thin">
          <color indexed="64"/>
        </left>
        <right/>
        <top style="thin">
          <color indexed="64"/>
        </top>
        <bottom style="thin">
          <color indexed="64"/>
        </bottom>
      </border>
      <protection locked="1" hidden="0"/>
    </dxf>
    <dxf>
      <font>
        <outline val="0"/>
        <shadow val="0"/>
        <u val="none"/>
        <vertAlign val="baseline"/>
        <sz val="12"/>
        <name val="Arial"/>
        <family val="2"/>
        <scheme val="none"/>
      </font>
      <alignment horizontal="left" vertical="center" textRotation="0" wrapText="0" indent="0" justifyLastLine="0" shrinkToFit="0" readingOrder="0"/>
      <border outline="0">
        <right style="thin">
          <color indexed="64"/>
        </right>
      </border>
      <protection locked="1" hidden="0"/>
    </dxf>
    <dxf>
      <font>
        <outline val="0"/>
        <shadow val="0"/>
        <u val="none"/>
        <vertAlign val="baseline"/>
        <sz val="12"/>
        <name val="Arial"/>
        <family val="2"/>
        <scheme val="none"/>
      </font>
      <alignment horizontal="general"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outline="0">
        <top style="thin">
          <color indexed="64"/>
        </top>
      </border>
    </dxf>
    <dxf>
      <border diagonalUp="0" diagonalDown="0">
        <left style="medium">
          <color indexed="64"/>
        </left>
        <right style="medium">
          <color indexed="64"/>
        </right>
        <top style="medium">
          <color indexed="64"/>
        </top>
        <bottom style="medium">
          <color indexed="64"/>
        </bottom>
      </border>
    </dxf>
    <dxf>
      <font>
        <outline val="0"/>
        <shadow val="0"/>
        <u val="none"/>
        <vertAlign val="baseline"/>
        <sz val="12"/>
        <name val="Arial"/>
        <family val="2"/>
        <scheme val="none"/>
      </font>
      <protection locked="1" hidden="0"/>
    </dxf>
    <dxf>
      <border outline="0">
        <bottom style="thin">
          <color indexed="64"/>
        </bottom>
      </border>
    </dxf>
    <dxf>
      <font>
        <outline val="0"/>
        <shadow val="0"/>
        <u val="none"/>
        <vertAlign val="baseline"/>
        <sz val="12"/>
        <name val="Arial"/>
        <family val="2"/>
        <scheme val="none"/>
      </font>
      <protection locked="1" hidden="0"/>
    </dxf>
    <dxf>
      <font>
        <b val="0"/>
        <i val="0"/>
        <strike val="0"/>
        <condense val="0"/>
        <extend val="0"/>
        <outline val="0"/>
        <shadow val="0"/>
        <u val="none"/>
        <vertAlign val="baseline"/>
        <sz val="12"/>
        <color theme="4" tint="-0.249977111117893"/>
        <name val="Arial"/>
        <family val="2"/>
        <scheme val="none"/>
      </font>
      <alignment horizontal="general" vertical="center" textRotation="0" wrapText="0"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2"/>
        <color theme="4" tint="-0.249977111117893"/>
        <name val="Arial"/>
        <family val="2"/>
        <scheme val="none"/>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outline val="0"/>
        <shadow val="0"/>
        <u val="none"/>
        <vertAlign val="baseline"/>
        <sz val="12"/>
        <name val="Arial"/>
        <family val="2"/>
        <scheme val="none"/>
      </font>
      <protection locked="1" hidden="0"/>
    </dxf>
    <dxf>
      <font>
        <outline val="0"/>
        <shadow val="0"/>
        <u val="none"/>
        <vertAlign val="baseline"/>
        <sz val="12"/>
        <name val="Arial"/>
        <family val="2"/>
        <scheme val="none"/>
      </font>
      <protection locked="1" hidden="0"/>
    </dxf>
    <dxf>
      <font>
        <outline val="0"/>
        <shadow val="0"/>
        <u val="none"/>
        <vertAlign val="baseline"/>
        <sz val="12"/>
        <name val="Arial"/>
        <family val="2"/>
        <scheme val="none"/>
      </font>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font>
        <outline val="0"/>
        <shadow val="0"/>
        <u val="none"/>
        <vertAlign val="baseline"/>
        <sz val="12"/>
        <name val="Arial"/>
        <family val="2"/>
        <scheme val="none"/>
      </font>
      <protection locked="1" hidden="0"/>
    </dxf>
    <dxf>
      <border outline="0">
        <bottom style="thin">
          <color rgb="FF000000"/>
        </bottom>
      </border>
    </dxf>
    <dxf>
      <font>
        <b val="0"/>
        <i val="0"/>
        <strike val="0"/>
        <condense val="0"/>
        <extend val="0"/>
        <outline val="0"/>
        <shadow val="0"/>
        <u val="none"/>
        <vertAlign val="baseline"/>
        <sz val="12"/>
        <color theme="4" tint="-0.249977111117893"/>
        <name val="Arial"/>
        <family val="2"/>
        <scheme val="none"/>
      </font>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outline val="0"/>
        <shadow val="0"/>
        <u val="none"/>
        <vertAlign val="baseline"/>
        <sz val="12"/>
        <name val="Arial"/>
        <family val="2"/>
        <scheme val="none"/>
      </font>
      <numFmt numFmtId="13" formatCode="0%"/>
      <fill>
        <patternFill patternType="none">
          <fgColor indexed="64"/>
          <bgColor auto="1"/>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1" hidden="0"/>
    </dxf>
    <dxf>
      <font>
        <outline val="0"/>
        <shadow val="0"/>
        <u val="none"/>
        <vertAlign val="baseline"/>
        <sz val="12"/>
        <name val="Arial"/>
        <family val="2"/>
        <scheme val="none"/>
      </font>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2"/>
        <color theme="1"/>
        <name val="Arial"/>
        <family val="2"/>
        <scheme val="none"/>
      </font>
      <numFmt numFmtId="164" formatCode="_(* #,##0_);_(* \(#,##0\);_(* &quot;-&quot;??_);_(@_)"/>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2"/>
        <color theme="1"/>
        <name val="Arial"/>
        <family val="2"/>
        <scheme val="none"/>
      </font>
      <numFmt numFmtId="164"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2"/>
        <color theme="1"/>
        <name val="Arial"/>
        <family val="2"/>
        <scheme val="none"/>
      </font>
      <numFmt numFmtId="164"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2"/>
        <color theme="1"/>
        <name val="Arial"/>
        <family val="2"/>
        <scheme val="none"/>
      </font>
      <numFmt numFmtId="164" formatCode="_(* #,##0_);_(* \(#,##0\);_(* &quot;-&quot;??_);_(@_)"/>
      <fill>
        <patternFill patternType="none">
          <fgColor indexed="64"/>
          <bgColor auto="1"/>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outline val="0"/>
        <shadow val="0"/>
        <u val="none"/>
        <vertAlign val="baseline"/>
        <sz val="12"/>
        <name val="Arial"/>
        <family val="2"/>
        <scheme val="none"/>
      </font>
      <fill>
        <patternFill patternType="none">
          <fgColor rgb="FF000000"/>
          <bgColor auto="1"/>
        </patternFill>
      </fill>
      <protection locked="1" hidden="0"/>
    </dxf>
    <dxf>
      <border>
        <bottom style="thin">
          <color rgb="FF000000"/>
        </bottom>
      </border>
    </dxf>
    <dxf>
      <font>
        <outline val="0"/>
        <shadow val="0"/>
        <u val="none"/>
        <vertAlign val="baseline"/>
        <sz val="12"/>
        <name val="Arial"/>
        <family val="2"/>
        <scheme val="none"/>
      </font>
      <alignment horizontal="general"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ont>
        <b/>
        <i val="0"/>
        <strike val="0"/>
        <condense val="0"/>
        <extend val="0"/>
        <outline val="0"/>
        <shadow val="0"/>
        <u val="none"/>
        <vertAlign val="baseline"/>
        <sz val="12"/>
        <color theme="1"/>
        <name val="Arial"/>
        <family val="2"/>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Arial"/>
        <family val="2"/>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outline val="0"/>
        <shadow val="0"/>
        <u val="none"/>
        <vertAlign val="baseline"/>
        <sz val="12"/>
        <name val="Arial"/>
        <family val="2"/>
        <scheme val="none"/>
      </font>
      <fill>
        <patternFill patternType="solid">
          <fgColor indexed="64"/>
          <bgColor rgb="FFFFFF0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outline val="0"/>
        <shadow val="0"/>
        <u val="none"/>
        <vertAlign val="baseline"/>
        <sz val="12"/>
        <name val="Arial"/>
        <family val="2"/>
        <scheme val="none"/>
      </font>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outline val="0"/>
        <shadow val="0"/>
        <u val="none"/>
        <vertAlign val="baseline"/>
        <sz val="12"/>
        <name val="Arial"/>
        <family val="2"/>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outline val="0"/>
        <shadow val="0"/>
        <u val="none"/>
        <vertAlign val="baseline"/>
        <sz val="12"/>
        <name val="Arial"/>
        <family val="2"/>
        <scheme val="none"/>
      </font>
      <fill>
        <patternFill patternType="solid">
          <fgColor indexed="64"/>
          <bgColor rgb="FFFFFF0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auto="1"/>
        <name val="Arial"/>
        <family val="2"/>
        <scheme val="none"/>
      </font>
      <numFmt numFmtId="1" formatCode="0"/>
      <fill>
        <patternFill patternType="solid">
          <fgColor indexed="64"/>
          <bgColor rgb="FFFFFF0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outline val="0"/>
        <shadow val="0"/>
        <u val="none"/>
        <vertAlign val="baseline"/>
        <sz val="12"/>
        <name val="Arial"/>
        <family val="2"/>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outline val="0"/>
        <shadow val="0"/>
        <u val="none"/>
        <vertAlign val="baseline"/>
        <sz val="12"/>
        <name val="Arial"/>
        <family val="2"/>
        <scheme val="none"/>
      </font>
      <fill>
        <patternFill patternType="solid">
          <fgColor indexed="64"/>
          <bgColor rgb="FFFFFF0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rial"/>
        <family val="2"/>
        <scheme val="none"/>
      </font>
      <numFmt numFmtId="1" formatCode="0"/>
      <fill>
        <patternFill patternType="solid">
          <fgColor indexed="64"/>
          <bgColor rgb="FFFFFF0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rial"/>
        <family val="2"/>
        <scheme val="none"/>
      </font>
      <fill>
        <patternFill patternType="solid">
          <fgColor indexed="64"/>
          <bgColor rgb="FFFFFF00"/>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font>
        <outline val="0"/>
        <shadow val="0"/>
        <u val="none"/>
        <vertAlign val="baseline"/>
        <sz val="12"/>
        <name val="Arial"/>
        <family val="2"/>
        <scheme val="none"/>
      </font>
      <fill>
        <patternFill patternType="solid">
          <fgColor indexed="64"/>
          <bgColor rgb="FFFFFF00"/>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border>
      <protection locked="1" hidden="0"/>
    </dxf>
    <dxf>
      <font>
        <outline val="0"/>
        <shadow val="0"/>
        <u val="none"/>
        <vertAlign val="baseline"/>
        <sz val="12"/>
        <name val="Arial"/>
        <family val="2"/>
        <scheme val="none"/>
      </font>
      <fill>
        <patternFill patternType="solid">
          <fgColor indexed="64"/>
          <bgColor rgb="FFFFFF00"/>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border>
      <protection locked="1" hidden="0"/>
    </dxf>
    <dxf>
      <border diagonalUp="0" diagonalDown="0">
        <left style="medium">
          <color rgb="FF000000"/>
        </left>
        <right style="medium">
          <color rgb="FF000000"/>
        </right>
        <top style="medium">
          <color rgb="FF000000"/>
        </top>
        <bottom style="medium">
          <color rgb="FF000000"/>
        </bottom>
      </border>
    </dxf>
    <dxf>
      <font>
        <outline val="0"/>
        <shadow val="0"/>
        <u val="none"/>
        <vertAlign val="baseline"/>
        <sz val="12"/>
        <name val="Arial"/>
        <family val="2"/>
        <scheme val="none"/>
      </font>
      <fill>
        <patternFill patternType="none">
          <fgColor rgb="FF000000"/>
          <bgColor auto="1"/>
        </patternFill>
      </fill>
      <alignment horizontal="center" vertical="center" textRotation="0" wrapText="0" indent="0" justifyLastLine="0" shrinkToFit="0" readingOrder="0"/>
      <protection locked="1" hidden="0"/>
    </dxf>
    <dxf>
      <font>
        <outline val="0"/>
        <shadow val="0"/>
        <u val="none"/>
        <vertAlign val="baseline"/>
        <sz val="12"/>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2"/>
        <color theme="4" tint="-0.249977111117893"/>
        <name val="Arial"/>
        <family val="2"/>
        <scheme val="none"/>
      </font>
      <numFmt numFmtId="0" formatCode="General"/>
      <alignment horizontal="general" vertical="center" textRotation="0" wrapText="0"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2"/>
        <color theme="4" tint="-0.249977111117893"/>
        <name val="Arial"/>
        <family val="2"/>
        <scheme val="none"/>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outline val="0"/>
        <shadow val="0"/>
        <u val="none"/>
        <vertAlign val="baseline"/>
        <sz val="12"/>
        <name val="Arial"/>
        <family val="2"/>
        <scheme val="none"/>
      </font>
      <protection locked="1" hidden="0"/>
    </dxf>
    <dxf>
      <font>
        <outline val="0"/>
        <shadow val="0"/>
        <u val="none"/>
        <vertAlign val="baseline"/>
        <sz val="12"/>
        <name val="Arial"/>
        <family val="2"/>
        <scheme val="none"/>
      </font>
      <protection locked="1" hidden="0"/>
    </dxf>
    <dxf>
      <font>
        <outline val="0"/>
        <shadow val="0"/>
        <u val="none"/>
        <vertAlign val="baseline"/>
        <sz val="12"/>
        <name val="Arial"/>
        <family val="2"/>
        <scheme val="none"/>
      </font>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font>
        <outline val="0"/>
        <shadow val="0"/>
        <u val="none"/>
        <vertAlign val="baseline"/>
        <sz val="12"/>
        <name val="Arial"/>
        <family val="2"/>
        <scheme val="none"/>
      </font>
      <protection locked="1" hidden="0"/>
    </dxf>
    <dxf>
      <border outline="0">
        <bottom style="thin">
          <color rgb="FF000000"/>
        </bottom>
      </border>
    </dxf>
    <dxf>
      <font>
        <b val="0"/>
        <i val="0"/>
        <strike val="0"/>
        <condense val="0"/>
        <extend val="0"/>
        <outline val="0"/>
        <shadow val="0"/>
        <u val="none"/>
        <vertAlign val="baseline"/>
        <sz val="12"/>
        <color theme="4" tint="-0.249977111117893"/>
        <name val="Arial"/>
        <family val="2"/>
        <scheme val="none"/>
      </font>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outline val="0"/>
        <shadow val="0"/>
        <u val="none"/>
        <vertAlign val="baseline"/>
        <sz val="12"/>
        <name val="Arial"/>
        <family val="2"/>
        <scheme val="none"/>
      </font>
      <fill>
        <patternFill patternType="none">
          <fgColor indexed="64"/>
          <bgColor auto="1"/>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1" hidden="0"/>
    </dxf>
    <dxf>
      <font>
        <outline val="0"/>
        <shadow val="0"/>
        <u val="none"/>
        <vertAlign val="baseline"/>
        <sz val="12"/>
        <name val="Arial"/>
        <family val="2"/>
        <scheme val="none"/>
      </font>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2"/>
        <color theme="1"/>
        <name val="Arial"/>
        <family val="2"/>
        <scheme val="none"/>
      </font>
      <numFmt numFmtId="164"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2"/>
        <color theme="1"/>
        <name val="Arial"/>
        <family val="2"/>
        <scheme val="none"/>
      </font>
      <numFmt numFmtId="164"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2"/>
        <color theme="1"/>
        <name val="Arial"/>
        <family val="2"/>
        <scheme val="none"/>
      </font>
      <numFmt numFmtId="164" formatCode="_(* #,##0_);_(* \(#,##0\);_(* &quot;-&quot;??_);_(@_)"/>
      <fill>
        <patternFill patternType="none">
          <fgColor indexed="64"/>
          <bgColor auto="1"/>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outline val="0"/>
        <shadow val="0"/>
        <u val="none"/>
        <vertAlign val="baseline"/>
        <sz val="12"/>
        <name val="Arial"/>
        <family val="2"/>
        <scheme val="none"/>
      </font>
      <fill>
        <patternFill patternType="none">
          <fgColor rgb="FF000000"/>
          <bgColor auto="1"/>
        </patternFill>
      </fill>
      <protection locked="1" hidden="0"/>
    </dxf>
    <dxf>
      <border>
        <bottom style="thin">
          <color rgb="FF000000"/>
        </bottom>
      </border>
    </dxf>
    <dxf>
      <font>
        <outline val="0"/>
        <shadow val="0"/>
        <u val="none"/>
        <vertAlign val="baseline"/>
        <sz val="12"/>
        <name val="Arial"/>
        <family val="2"/>
        <scheme val="none"/>
      </font>
      <alignment horizontal="general"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ont>
        <outline val="0"/>
        <shadow val="0"/>
        <u val="none"/>
        <vertAlign val="baseline"/>
        <sz val="12"/>
        <name val="Arial"/>
        <family val="2"/>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border>
      <protection locked="1" hidden="0"/>
    </dxf>
    <dxf>
      <font>
        <outline val="0"/>
        <shadow val="0"/>
        <u val="none"/>
        <vertAlign val="baseline"/>
        <sz val="12"/>
        <name val="Arial"/>
        <family val="2"/>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outline val="0"/>
        <shadow val="0"/>
        <u val="none"/>
        <vertAlign val="baseline"/>
        <sz val="12"/>
        <name val="Arial"/>
        <family val="2"/>
        <scheme val="none"/>
      </font>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outline val="0"/>
        <shadow val="0"/>
        <u val="none"/>
        <vertAlign val="baseline"/>
        <sz val="12"/>
        <name val="Arial"/>
        <family val="2"/>
        <scheme val="none"/>
      </font>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outline val="0"/>
        <shadow val="0"/>
        <u val="none"/>
        <vertAlign val="baseline"/>
        <sz val="12"/>
        <name val="Arial"/>
        <family val="2"/>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outline val="0"/>
        <shadow val="0"/>
        <u val="none"/>
        <vertAlign val="baseline"/>
        <sz val="12"/>
        <name val="Arial"/>
        <family val="2"/>
        <scheme val="none"/>
      </font>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auto="1"/>
        <name val="Arial"/>
        <family val="2"/>
        <scheme val="none"/>
      </font>
      <numFmt numFmtId="1" formatCode="0"/>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outline val="0"/>
        <shadow val="0"/>
        <u val="none"/>
        <vertAlign val="baseline"/>
        <sz val="12"/>
        <name val="Arial"/>
        <family val="2"/>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outline val="0"/>
        <shadow val="0"/>
        <u val="none"/>
        <vertAlign val="baseline"/>
        <sz val="12"/>
        <name val="Arial"/>
        <family val="2"/>
        <scheme val="none"/>
      </font>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rial"/>
        <family val="2"/>
        <scheme val="none"/>
      </font>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outline val="0"/>
        <shadow val="0"/>
        <u val="none"/>
        <vertAlign val="baseline"/>
        <sz val="12"/>
        <name val="Arial"/>
        <family val="2"/>
        <scheme val="none"/>
      </font>
      <fill>
        <patternFill patternType="solid">
          <fgColor indexed="64"/>
          <bgColor rgb="FFFFFF0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outline val="0"/>
        <shadow val="0"/>
        <u val="none"/>
        <vertAlign val="baseline"/>
        <sz val="12"/>
        <name val="Arial"/>
        <family val="2"/>
        <scheme val="none"/>
      </font>
      <fill>
        <patternFill patternType="solid">
          <fgColor indexed="64"/>
          <bgColor rgb="FFFFFF0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outline val="0"/>
        <shadow val="0"/>
        <u val="none"/>
        <vertAlign val="baseline"/>
        <sz val="12"/>
        <name val="Arial"/>
        <family val="2"/>
        <scheme val="none"/>
      </font>
      <fill>
        <patternFill patternType="solid">
          <fgColor indexed="64"/>
          <bgColor rgb="FFFFFF00"/>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medium">
          <color rgb="FF000000"/>
        </left>
        <right style="medium">
          <color rgb="FF000000"/>
        </right>
        <top style="medium">
          <color rgb="FF000000"/>
        </top>
        <bottom style="medium">
          <color rgb="FF000000"/>
        </bottom>
      </border>
    </dxf>
    <dxf>
      <font>
        <outline val="0"/>
        <shadow val="0"/>
        <u val="none"/>
        <vertAlign val="baseline"/>
        <sz val="12"/>
        <name val="Arial"/>
        <family val="2"/>
        <scheme val="none"/>
      </font>
      <fill>
        <patternFill patternType="none">
          <fgColor rgb="FF000000"/>
          <bgColor auto="1"/>
        </patternFill>
      </fill>
      <protection locked="1" hidden="0"/>
    </dxf>
    <dxf>
      <border>
        <bottom style="thin">
          <color rgb="FF000000"/>
        </bottom>
      </border>
    </dxf>
    <dxf>
      <font>
        <outline val="0"/>
        <shadow val="0"/>
        <u val="none"/>
        <vertAlign val="baseline"/>
        <sz val="12"/>
        <name val="Arial"/>
        <family val="2"/>
        <scheme val="none"/>
      </font>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outline val="0"/>
        <shadow val="0"/>
        <u val="none"/>
        <vertAlign val="baseline"/>
        <sz val="12"/>
        <name val="Arial"/>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outline val="0"/>
        <shadow val="0"/>
        <u val="none"/>
        <vertAlign val="baseline"/>
        <sz val="12"/>
        <name val="Arial"/>
        <family val="2"/>
        <scheme val="none"/>
      </font>
      <numFmt numFmtId="0" formatCode="General"/>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outline val="0"/>
        <shadow val="0"/>
        <u val="none"/>
        <vertAlign val="baseline"/>
        <sz val="12"/>
        <name val="Arial"/>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rial"/>
        <family val="2"/>
        <scheme val="none"/>
      </font>
      <numFmt numFmtId="1" formatCode="0"/>
      <fill>
        <patternFill patternType="solid">
          <fgColor indexed="64"/>
          <bgColor rgb="FFFFFF00"/>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outline val="0"/>
        <shadow val="0"/>
        <u val="none"/>
        <vertAlign val="baseline"/>
        <sz val="12"/>
        <name val="Arial"/>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border diagonalUp="0" diagonalDown="0">
        <left style="medium">
          <color rgb="FF000000"/>
        </left>
        <right style="medium">
          <color rgb="FF000000"/>
        </right>
        <top style="medium">
          <color rgb="FF000000"/>
        </top>
        <bottom style="medium">
          <color rgb="FF000000"/>
        </bottom>
      </border>
    </dxf>
    <dxf>
      <font>
        <outline val="0"/>
        <shadow val="0"/>
        <u val="none"/>
        <vertAlign val="baseline"/>
        <sz val="12"/>
        <name val="Arial"/>
        <family val="2"/>
        <scheme val="none"/>
      </font>
      <alignment horizontal="general" vertical="center" textRotation="0" wrapText="1" indent="0" justifyLastLine="0" shrinkToFit="0" readingOrder="0"/>
      <protection locked="1" hidden="0"/>
    </dxf>
    <dxf>
      <font>
        <outline val="0"/>
        <shadow val="0"/>
        <u val="none"/>
        <vertAlign val="baseline"/>
        <sz val="12"/>
        <name val="Arial"/>
        <family val="2"/>
        <scheme val="none"/>
      </font>
      <alignment horizontal="general" vertical="center" textRotation="0" wrapText="1" indent="0" justifyLastLine="0" shrinkToFit="0" readingOrder="0"/>
      <protection locked="1" hidden="0"/>
    </dxf>
    <dxf>
      <font>
        <outline val="0"/>
        <shadow val="0"/>
        <u val="none"/>
        <vertAlign val="baseline"/>
        <sz val="12"/>
        <name val="Arial"/>
        <family val="2"/>
        <scheme val="none"/>
      </font>
      <alignment horizontal="general" vertical="center" textRotation="0" wrapText="0" indent="0" justifyLastLine="0" shrinkToFit="0" readingOrder="0"/>
      <border diagonalUp="0" diagonalDown="0">
        <left style="thin">
          <color indexed="64"/>
        </left>
        <right/>
        <top style="thin">
          <color indexed="64"/>
        </top>
        <bottom style="thin">
          <color indexed="64"/>
        </bottom>
      </border>
      <protection locked="1" hidden="0"/>
    </dxf>
    <dxf>
      <font>
        <outline val="0"/>
        <shadow val="0"/>
        <u val="none"/>
        <vertAlign val="baseline"/>
        <sz val="12"/>
        <name val="Arial"/>
        <family val="2"/>
        <scheme val="none"/>
      </font>
      <alignment horizontal="left" vertical="center" textRotation="0" wrapText="0" indent="0" justifyLastLine="0" shrinkToFit="0" readingOrder="0"/>
      <border>
        <right style="thin">
          <color indexed="64"/>
        </right>
      </border>
      <protection locked="1" hidden="0"/>
    </dxf>
    <dxf>
      <font>
        <outline val="0"/>
        <shadow val="0"/>
        <u val="none"/>
        <vertAlign val="baseline"/>
        <sz val="12"/>
        <name val="Arial"/>
        <family val="2"/>
        <scheme val="none"/>
      </font>
      <alignment horizontal="general"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outline="0">
        <top style="thin">
          <color rgb="FF000000"/>
        </top>
      </border>
    </dxf>
    <dxf>
      <border diagonalUp="0" diagonalDown="0">
        <left style="medium">
          <color rgb="FF000000"/>
        </left>
        <right style="medium">
          <color rgb="FF000000"/>
        </right>
        <top style="medium">
          <color rgb="FF000000"/>
        </top>
        <bottom style="medium">
          <color rgb="FF000000"/>
        </bottom>
      </border>
    </dxf>
    <dxf>
      <font>
        <outline val="0"/>
        <shadow val="0"/>
        <u val="none"/>
        <vertAlign val="baseline"/>
        <sz val="12"/>
        <name val="Arial"/>
        <family val="2"/>
        <scheme val="none"/>
      </font>
      <protection locked="1" hidden="0"/>
    </dxf>
    <dxf>
      <border outline="0">
        <bottom style="thin">
          <color rgb="FF000000"/>
        </bottom>
      </border>
    </dxf>
    <dxf>
      <font>
        <outline val="0"/>
        <shadow val="0"/>
        <u val="none"/>
        <vertAlign val="baseline"/>
        <sz val="12"/>
        <name val="Arial"/>
        <family val="2"/>
        <scheme val="none"/>
      </font>
      <protection locked="1" hidden="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ill>
        <patternFill patternType="solid">
          <fgColor indexed="64"/>
          <bgColor theme="1"/>
        </patternFill>
      </fill>
      <alignment horizontal="center" vertical="center" textRotation="0" wrapText="1" indent="0" justifyLastLine="0" shrinkToFit="0" readingOrder="0"/>
      <border diagonalUp="0" diagonalDown="0" outline="0">
        <left style="thin">
          <color indexed="64"/>
        </left>
        <right style="thin">
          <color indexed="64"/>
        </right>
        <top/>
        <bottom/>
      </border>
    </dxf>
    <dxf>
      <numFmt numFmtId="13" formatCode="0%"/>
      <alignment horizontal="general"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border>
      <protection locked="1" hidden="0"/>
    </dxf>
    <dxf>
      <numFmt numFmtId="0" formatCode="Genera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border>
      <protection locked="1" hidden="0"/>
    </dxf>
    <dxf>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border>
      <protection locked="1" hidden="0"/>
    </dxf>
    <dxf>
      <numFmt numFmtId="164" formatCode="_(* #,##0_);_(* \(#,##0\);_(* &quot;-&quot;??_);_(@_)"/>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border>
      <protection locked="1" hidden="0"/>
    </dxf>
    <dxf>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border>
      <protection locked="1" hidden="0"/>
    </dxf>
    <dxf>
      <border diagonalUp="0" diagonalDown="0">
        <left style="thin">
          <color indexed="64"/>
        </left>
        <right style="thin">
          <color indexed="64"/>
        </right>
        <top style="thin">
          <color indexed="64"/>
        </top>
        <bottom style="thin">
          <color indexed="64"/>
        </bottom>
        <vertical style="thin">
          <color indexed="64"/>
        </vertical>
      </border>
      <protection locked="1" hidden="0"/>
    </dxf>
    <dxf>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border>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alignment horizontal="general" vertical="center" textRotation="0" wrapText="0" indent="0" justifyLastLine="0" shrinkToFit="0" readingOrder="0"/>
      <protection locked="1" hidden="0"/>
    </dxf>
    <dxf>
      <border>
        <bottom style="thin">
          <color indexed="64"/>
        </bottom>
      </border>
    </dxf>
    <dxf>
      <alignment horizontal="general" vertical="center" textRotation="0" wrapText="0" indent="0" justifyLastLine="0" shrinkToFit="0" readingOrder="0"/>
      <border diagonalUp="0" diagonalDown="0">
        <left style="thin">
          <color indexed="64"/>
        </left>
        <right style="thin">
          <color indexed="64"/>
        </right>
        <top/>
        <bottom/>
        <vertical style="thin">
          <color indexed="64"/>
        </vertical>
      </border>
      <protection locked="1" hidden="0"/>
    </dxf>
    <dxf>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1" hidden="0"/>
    </dxf>
    <dxf>
      <font>
        <b/>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numFmt numFmtId="0" formatCode="General"/>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Calibri"/>
        <family val="2"/>
        <scheme val="minor"/>
      </font>
      <numFmt numFmtId="1" formatCode="0"/>
      <fill>
        <patternFill patternType="solid">
          <fgColor indexed="64"/>
          <bgColor rgb="FFFFFF0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ill>
        <patternFill patternType="solid">
          <fgColor indexed="64"/>
          <bgColor rgb="FFFFFF0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ill>
        <patternFill patternType="solid">
          <fgColor indexed="64"/>
          <bgColor rgb="FFFFFF00"/>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border>
      <protection locked="0" hidden="0"/>
    </dxf>
    <dxf>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ill>
        <patternFill patternType="none">
          <fgColor indexed="64"/>
          <bgColor auto="1"/>
        </patternFill>
      </fill>
      <alignment horizontal="center" vertical="center" textRotation="0" wrapText="0" indent="0" justifyLastLine="0" shrinkToFit="0" readingOrder="0"/>
      <protection locked="1" hidden="0"/>
    </dxf>
    <dxf>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ill>
        <patternFill patternType="solid">
          <fgColor indexed="64"/>
          <bgColor rgb="FFFFFF0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ill>
        <patternFill patternType="solid">
          <fgColor indexed="64"/>
          <bgColor rgb="FFFFFF0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 formatCode="0"/>
      <fill>
        <patternFill patternType="solid">
          <fgColor indexed="64"/>
          <bgColor rgb="FFFFFF0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ill>
        <patternFill patternType="solid">
          <fgColor indexed="64"/>
          <bgColor rgb="FFFFFF0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solid">
          <fgColor indexed="64"/>
          <bgColor rgb="FFFFFF0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rgb="FFFFFF0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rgb="FFFFFF00"/>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protection locked="0" hidden="0"/>
    </dxf>
    <dxf>
      <fill>
        <patternFill patternType="solid">
          <fgColor indexed="64"/>
          <bgColor rgb="FFFFFF00"/>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protection locked="0" hidden="0"/>
    </dxf>
    <dxf>
      <border diagonalUp="0" diagonalDown="0">
        <left style="medium">
          <color indexed="64"/>
        </left>
        <right style="medium">
          <color indexed="64"/>
        </right>
        <top style="medium">
          <color indexed="64"/>
        </top>
        <bottom style="medium">
          <color indexed="64"/>
        </bottom>
      </border>
    </dxf>
    <dxf>
      <fill>
        <patternFill patternType="none">
          <fgColor indexed="64"/>
          <bgColor auto="1"/>
        </patternFill>
      </fill>
      <alignment horizontal="center" vertical="center" textRotation="0" wrapText="0" indent="0" justifyLastLine="0" shrinkToFit="0" readingOrder="0"/>
      <protection locked="1" hidden="0"/>
    </dxf>
    <dxf>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border>
      <protection locked="1" hidden="0"/>
    </dxf>
    <dxf>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border>
      <protection locked="1" hidden="0"/>
    </dxf>
    <dxf>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border>
      <protection locked="1" hidden="0"/>
    </dxf>
    <dxf>
      <border diagonalUp="0" diagonalDown="0">
        <left style="thin">
          <color indexed="64"/>
        </left>
        <right style="thin">
          <color indexed="64"/>
        </right>
        <top style="thin">
          <color indexed="64"/>
        </top>
        <bottom style="thin">
          <color indexed="64"/>
        </bottom>
        <vertical style="thin">
          <color indexed="64"/>
        </vertical>
      </border>
      <protection locked="1" hidden="0"/>
    </dxf>
    <dxf>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border>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alignment horizontal="general" vertical="center" textRotation="0" wrapText="0" indent="0" justifyLastLine="0" shrinkToFit="0" readingOrder="0"/>
      <protection locked="1" hidden="0"/>
    </dxf>
    <dxf>
      <border>
        <bottom style="thin">
          <color indexed="64"/>
        </bottom>
      </border>
    </dxf>
    <dxf>
      <alignment horizontal="general" vertical="center" textRotation="0" wrapText="0" indent="0" justifyLastLine="0" shrinkToFit="0" readingOrder="0"/>
      <border diagonalUp="0" diagonalDown="0">
        <left style="thin">
          <color indexed="64"/>
        </left>
        <right style="thin">
          <color indexed="64"/>
        </right>
        <top/>
        <bottom/>
        <vertical style="thin">
          <color indexed="64"/>
        </vertical>
      </border>
      <protection locked="1" hidden="0"/>
    </dxf>
    <dxf>
      <font>
        <strike val="0"/>
        <outline val="0"/>
        <shadow val="0"/>
        <u val="none"/>
        <vertAlign val="baseline"/>
        <sz val="11"/>
        <color theme="1"/>
        <name val="Calibri"/>
        <family val="2"/>
        <scheme val="minor"/>
      </font>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protection locked="1" hidden="0"/>
    </dxf>
    <dxf>
      <font>
        <strike val="0"/>
        <outline val="0"/>
        <shadow val="0"/>
        <u val="none"/>
        <vertAlign val="baseline"/>
        <sz val="11"/>
        <color theme="1"/>
        <name val="Calibri"/>
        <family val="2"/>
        <scheme val="minor"/>
      </font>
      <alignment horizontal="left" vertical="center" textRotation="0" wrapText="0" indent="0" justifyLastLine="0" shrinkToFit="0" readingOrder="0"/>
      <protection locked="1" hidden="0"/>
    </dxf>
    <dxf>
      <font>
        <strike val="0"/>
        <outline val="0"/>
        <shadow val="0"/>
        <u val="none"/>
        <vertAlign val="baseline"/>
        <sz val="11"/>
        <color theme="1"/>
        <name val="Calibri"/>
        <family val="2"/>
        <scheme val="minor"/>
      </font>
      <alignment horizontal="general" vertical="center" textRotation="0" wrapText="1" indent="0" justifyLastLine="0" shrinkToFit="0" readingOrder="0"/>
      <border diagonalUp="0" diagonalDown="0" outline="0">
        <left/>
        <right style="thin">
          <color indexed="64"/>
        </right>
        <top style="thin">
          <color indexed="64"/>
        </top>
        <bottom style="thin">
          <color indexed="64"/>
        </bottom>
      </border>
      <protection locked="1" hidden="0"/>
    </dxf>
    <dxf>
      <border outline="0">
        <top style="thin">
          <color indexed="64"/>
        </top>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color theme="1"/>
        <name val="Calibri"/>
        <family val="2"/>
        <scheme val="minor"/>
      </font>
      <protection locked="1" hidden="0"/>
    </dxf>
    <dxf>
      <border outline="0">
        <bottom style="thin">
          <color indexed="64"/>
        </bottom>
      </border>
    </dxf>
    <dxf>
      <font>
        <strike val="0"/>
        <outline val="0"/>
        <shadow val="0"/>
        <u val="none"/>
        <vertAlign val="baseline"/>
        <sz val="11"/>
        <color theme="1"/>
        <name val="Calibri"/>
        <family val="2"/>
        <scheme val="minor"/>
      </font>
      <protection locked="1" hidden="0"/>
    </dxf>
    <dxf>
      <numFmt numFmtId="13" formatCode="0%"/>
      <alignment horizontal="general"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border>
      <protection locked="1" hidden="0"/>
    </dxf>
    <dxf>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border>
      <protection locked="1" hidden="0"/>
    </dxf>
    <dxf>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border>
      <protection locked="1" hidden="0"/>
    </dxf>
    <dxf>
      <numFmt numFmtId="164" formatCode="_(* #,##0_);_(* \(#,##0\);_(* &quot;-&quot;??_);_(@_)"/>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border>
      <protection locked="1" hidden="0"/>
    </dxf>
    <dxf>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border>
      <protection locked="1" hidden="0"/>
    </dxf>
    <dxf>
      <border diagonalUp="0" diagonalDown="0">
        <left style="thin">
          <color indexed="64"/>
        </left>
        <right style="thin">
          <color indexed="64"/>
        </right>
        <top style="thin">
          <color indexed="64"/>
        </top>
        <bottom style="thin">
          <color indexed="64"/>
        </bottom>
        <vertical style="thin">
          <color indexed="64"/>
        </vertical>
      </border>
      <protection locked="1" hidden="0"/>
    </dxf>
    <dxf>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alignment horizontal="general" vertical="center" textRotation="0" wrapText="0" indent="0" justifyLastLine="0" shrinkToFit="0" readingOrder="0"/>
      <protection locked="1" hidden="0"/>
    </dxf>
    <dxf>
      <border>
        <bottom style="thin">
          <color rgb="FF000000"/>
        </bottom>
      </border>
    </dxf>
    <dxf>
      <alignment horizontal="general" vertical="center" textRotation="0" wrapText="0" indent="0" justifyLastLine="0" shrinkToFit="0" readingOrder="0"/>
      <border diagonalUp="0" diagonalDown="0">
        <left style="thin">
          <color indexed="64"/>
        </left>
        <right style="thin">
          <color indexed="64"/>
        </right>
        <top/>
        <bottom/>
        <vertical style="thin">
          <color indexed="64"/>
        </vertical>
      </border>
      <protection locked="1" hidden="0"/>
    </dxf>
    <dxf>
      <fill>
        <patternFill patternType="none">
          <fgColor rgb="FF000000"/>
          <bgColor auto="1"/>
        </patternFill>
      </fill>
      <alignment horizontal="center" vertical="center" textRotation="0" wrapText="0" indent="0" justifyLastLine="0" shrinkToFit="0" readingOrder="0"/>
      <protection locked="1" hidden="0"/>
    </dxf>
    <dxf>
      <fill>
        <patternFill patternType="none">
          <fgColor rgb="FF000000"/>
          <bgColor auto="1"/>
        </patternFill>
      </fill>
      <alignment horizontal="center" vertical="center" textRotation="0" wrapText="0" indent="0" justifyLastLine="0" shrinkToFit="0" readingOrder="0"/>
      <border outline="0">
        <left style="thin">
          <color indexed="64"/>
        </left>
      </border>
      <protection locked="1" hidden="0"/>
    </dxf>
    <dxf>
      <fill>
        <patternFill patternType="solid">
          <fgColor indexed="64"/>
          <bgColor rgb="FFFFFF00"/>
        </patternFill>
      </fill>
      <alignment horizontal="center" vertical="center" textRotation="0" wrapText="0" indent="0" justifyLastLine="0" shrinkToFit="0" readingOrder="0"/>
      <protection locked="1" hidden="0"/>
    </dxf>
    <dxf>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ill>
        <patternFill patternType="solid">
          <fgColor indexed="64"/>
          <bgColor rgb="FFFFFF0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Calibri"/>
        <family val="2"/>
        <scheme val="minor"/>
      </font>
      <numFmt numFmtId="1" formatCode="0"/>
      <fill>
        <patternFill patternType="solid">
          <fgColor indexed="64"/>
          <bgColor rgb="FFFFFF0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Calibri"/>
        <family val="2"/>
        <scheme val="minor"/>
      </font>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ill>
        <patternFill patternType="solid">
          <fgColor indexed="64"/>
          <bgColor rgb="FFFFFF00"/>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horizontal/>
      </border>
    </dxf>
    <dxf>
      <fill>
        <patternFill patternType="solid">
          <fgColor indexed="64"/>
          <bgColor rgb="FFFFFF00"/>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border>
      <protection locked="1" hidden="0"/>
    </dxf>
    <dxf>
      <fill>
        <patternFill patternType="solid">
          <fgColor indexed="64"/>
          <bgColor rgb="FFFFFF00"/>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border>
      <protection locked="1" hidden="0"/>
    </dxf>
    <dxf>
      <border diagonalUp="0" diagonalDown="0">
        <left style="medium">
          <color rgb="FF000000"/>
        </left>
        <right style="medium">
          <color rgb="FF000000"/>
        </right>
        <top style="medium">
          <color rgb="FF000000"/>
        </top>
        <bottom style="medium">
          <color rgb="FF000000"/>
        </bottom>
      </border>
    </dxf>
    <dxf>
      <fill>
        <patternFill patternType="none">
          <fgColor rgb="FF000000"/>
          <bgColor auto="1"/>
        </patternFill>
      </fill>
      <alignment horizontal="center" vertical="center" textRotation="0" wrapText="0" indent="0" justifyLastLine="0" shrinkToFit="0" readingOrder="0"/>
      <protection locked="1" hidden="0"/>
    </dxf>
    <dxf>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Calibri"/>
        <family val="2"/>
        <scheme val="minor"/>
      </font>
      <numFmt numFmtId="1" formatCode="0"/>
      <fill>
        <patternFill patternType="solid">
          <fgColor indexed="64"/>
          <bgColor rgb="FFFFFF0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Calibri"/>
        <family val="2"/>
        <scheme val="minor"/>
      </font>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ill>
        <patternFill patternType="solid">
          <fgColor indexed="64"/>
          <bgColor rgb="FFFFFF0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ill>
        <patternFill patternType="solid">
          <fgColor indexed="64"/>
          <bgColor rgb="FFFFFF00"/>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border>
      <protection locked="1" hidden="0"/>
    </dxf>
    <dxf>
      <fill>
        <patternFill patternType="solid">
          <fgColor indexed="64"/>
          <bgColor rgb="FFFFFF00"/>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border>
      <protection locked="1" hidden="0"/>
    </dxf>
    <dxf>
      <border diagonalUp="0" diagonalDown="0">
        <left style="medium">
          <color rgb="FF000000"/>
        </left>
        <right style="medium">
          <color rgb="FF000000"/>
        </right>
        <top style="medium">
          <color rgb="FF000000"/>
        </top>
        <bottom style="medium">
          <color rgb="FF000000"/>
        </bottom>
      </border>
    </dxf>
    <dxf>
      <fill>
        <patternFill patternType="none">
          <fgColor rgb="FF000000"/>
          <bgColor auto="1"/>
        </patternFill>
      </fill>
      <alignment horizontal="center" vertical="center" textRotation="0" wrapText="0" indent="0" justifyLastLine="0" shrinkToFit="0" readingOrder="0"/>
      <protection locked="1" hidden="0"/>
    </dxf>
    <dxf>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border>
      <protection locked="1" hidden="0"/>
    </dxf>
    <dxf>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border>
      <protection locked="1" hidden="0"/>
    </dxf>
    <dxf>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border>
      <protection locked="1" hidden="0"/>
    </dxf>
    <dxf>
      <border diagonalUp="0" diagonalDown="0">
        <left style="thin">
          <color indexed="64"/>
        </left>
        <right style="thin">
          <color indexed="64"/>
        </right>
        <top style="thin">
          <color indexed="64"/>
        </top>
        <bottom style="thin">
          <color indexed="64"/>
        </bottom>
        <vertical style="thin">
          <color indexed="64"/>
        </vertical>
      </border>
      <protection locked="1" hidden="0"/>
    </dxf>
    <dxf>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alignment horizontal="general" vertical="center" textRotation="0" wrapText="0" indent="0" justifyLastLine="0" shrinkToFit="0" readingOrder="0"/>
      <protection locked="1" hidden="0"/>
    </dxf>
    <dxf>
      <border>
        <bottom style="thin">
          <color rgb="FF000000"/>
        </bottom>
      </border>
    </dxf>
    <dxf>
      <alignment horizontal="general" vertical="center" textRotation="0" wrapText="0" indent="0" justifyLastLine="0" shrinkToFit="0" readingOrder="0"/>
      <border diagonalUp="0" diagonalDown="0">
        <left style="thin">
          <color indexed="64"/>
        </left>
        <right style="thin">
          <color indexed="64"/>
        </right>
        <top/>
        <bottom/>
        <vertical style="thin">
          <color indexed="64"/>
        </vertical>
      </border>
      <protection locked="1" hidden="0"/>
    </dxf>
    <dxf>
      <font>
        <strike val="0"/>
        <outline val="0"/>
        <shadow val="0"/>
        <u val="none"/>
        <vertAlign val="baseline"/>
        <sz val="11"/>
        <color theme="1"/>
        <name val="Calibri"/>
        <family val="2"/>
        <scheme val="minor"/>
      </font>
      <alignment horizontal="general" vertical="center" textRotation="0" wrapText="0" indent="0" justifyLastLine="0" shrinkToFit="0" readingOrder="0"/>
      <border diagonalUp="0" diagonalDown="0">
        <left style="thin">
          <color indexed="64"/>
        </left>
        <right/>
        <top style="thin">
          <color indexed="64"/>
        </top>
        <bottom style="thin">
          <color indexed="64"/>
        </bottom>
      </border>
      <protection locked="1" hidden="0"/>
    </dxf>
    <dxf>
      <font>
        <strike val="0"/>
        <outline val="0"/>
        <shadow val="0"/>
        <u val="none"/>
        <vertAlign val="baseline"/>
        <sz val="11"/>
        <color theme="1"/>
        <name val="Calibri"/>
        <family val="2"/>
        <scheme val="minor"/>
      </font>
      <alignment horizontal="left" vertical="center" textRotation="0" wrapText="0" indent="0" justifyLastLine="0" shrinkToFit="0" readingOrder="0"/>
      <protection locked="1" hidden="0"/>
    </dxf>
    <dxf>
      <font>
        <strike val="0"/>
        <outline val="0"/>
        <shadow val="0"/>
        <u val="none"/>
        <vertAlign val="baseline"/>
        <sz val="11"/>
        <color theme="1"/>
        <name val="Calibri"/>
        <family val="2"/>
        <scheme val="minor"/>
      </font>
      <alignment horizontal="general"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outline="0">
        <top style="thin">
          <color rgb="FF000000"/>
        </top>
      </border>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1"/>
        <color rgb="FF000000"/>
        <name val="Calibri"/>
        <family val="2"/>
        <scheme val="none"/>
      </font>
      <protection locked="1" hidden="0"/>
    </dxf>
    <dxf>
      <border outline="0">
        <bottom style="thin">
          <color rgb="FF000000"/>
        </bottom>
      </border>
    </dxf>
    <dxf>
      <font>
        <strike val="0"/>
        <outline val="0"/>
        <shadow val="0"/>
        <u val="none"/>
        <vertAlign val="baseline"/>
        <sz val="11"/>
        <color theme="1"/>
        <name val="Calibri"/>
        <family val="2"/>
        <scheme val="minor"/>
      </font>
      <protection locked="1" hidden="0"/>
    </dxf>
    <dxf>
      <font>
        <color theme="1"/>
      </font>
    </dxf>
  </dxfs>
  <tableStyles count="1" defaultTableStyle="TableStyleMedium2" defaultPivotStyle="PivotStyleLight16">
    <tableStyle name="Table Style 1" pivot="0" count="1" xr9:uid="{384870C9-3759-47D5-A911-13F140F09417}">
      <tableStyleElement type="wholeTable" dxfId="466"/>
    </tableStyle>
  </tableStyles>
  <colors>
    <mruColors>
      <color rgb="FFFF4747"/>
      <color rgb="FFBFBFBF"/>
      <color rgb="FFFF7D7D"/>
      <color rgb="FFFFFFD5"/>
      <color rgb="FFFFF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hyperlink" Target="https://experience.arcgis.com/experience/bb91fd8d3f8e49c4a979419db621f5cd/"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https://experience.arcgis.com/experience/bb91fd8d3f8e49c4a979419db621f5cd/"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99771</xdr:colOff>
      <xdr:row>2</xdr:row>
      <xdr:rowOff>6350</xdr:rowOff>
    </xdr:from>
    <xdr:to>
      <xdr:col>8</xdr:col>
      <xdr:colOff>2281370</xdr:colOff>
      <xdr:row>6</xdr:row>
      <xdr:rowOff>101601</xdr:rowOff>
    </xdr:to>
    <xdr:pic>
      <xdr:nvPicPr>
        <xdr:cNvPr id="2" name="Picture 1">
          <a:extLst>
            <a:ext uri="{FF2B5EF4-FFF2-40B4-BE49-F238E27FC236}">
              <a16:creationId xmlns:a16="http://schemas.microsoft.com/office/drawing/2014/main" id="{29404AB6-4614-4380-ADE0-073121E82F53}"/>
            </a:ext>
          </a:extLst>
        </xdr:cNvPr>
        <xdr:cNvPicPr>
          <a:picLocks noChangeAspect="1"/>
        </xdr:cNvPicPr>
      </xdr:nvPicPr>
      <xdr:blipFill rotWithShape="1">
        <a:blip xmlns:r="http://schemas.openxmlformats.org/officeDocument/2006/relationships" r:embed="rId1"/>
        <a:srcRect t="9373" b="7762"/>
        <a:stretch/>
      </xdr:blipFill>
      <xdr:spPr>
        <a:xfrm>
          <a:off x="5262321" y="260350"/>
          <a:ext cx="2181599" cy="6921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121361</xdr:colOff>
      <xdr:row>1</xdr:row>
      <xdr:rowOff>164278</xdr:rowOff>
    </xdr:from>
    <xdr:to>
      <xdr:col>6</xdr:col>
      <xdr:colOff>935170</xdr:colOff>
      <xdr:row>4</xdr:row>
      <xdr:rowOff>228666</xdr:rowOff>
    </xdr:to>
    <xdr:pic>
      <xdr:nvPicPr>
        <xdr:cNvPr id="2" name="Picture 1">
          <a:extLst>
            <a:ext uri="{FF2B5EF4-FFF2-40B4-BE49-F238E27FC236}">
              <a16:creationId xmlns:a16="http://schemas.microsoft.com/office/drawing/2014/main" id="{6265461E-6A5B-4752-A750-B332738AD03C}"/>
            </a:ext>
          </a:extLst>
        </xdr:cNvPr>
        <xdr:cNvPicPr>
          <a:picLocks noChangeAspect="1"/>
        </xdr:cNvPicPr>
      </xdr:nvPicPr>
      <xdr:blipFill>
        <a:blip xmlns:r="http://schemas.openxmlformats.org/officeDocument/2006/relationships" r:embed="rId1"/>
        <a:stretch>
          <a:fillRect/>
        </a:stretch>
      </xdr:blipFill>
      <xdr:spPr>
        <a:xfrm>
          <a:off x="7375601" y="164278"/>
          <a:ext cx="2151119" cy="826388"/>
        </a:xfrm>
        <a:prstGeom prst="rect">
          <a:avLst/>
        </a:prstGeom>
      </xdr:spPr>
    </xdr:pic>
    <xdr:clientData/>
  </xdr:twoCellAnchor>
  <xdr:twoCellAnchor>
    <xdr:from>
      <xdr:col>2</xdr:col>
      <xdr:colOff>1813983</xdr:colOff>
      <xdr:row>5</xdr:row>
      <xdr:rowOff>432859</xdr:rowOff>
    </xdr:from>
    <xdr:to>
      <xdr:col>4</xdr:col>
      <xdr:colOff>704849</xdr:colOff>
      <xdr:row>5</xdr:row>
      <xdr:rowOff>1312334</xdr:rowOff>
    </xdr:to>
    <xdr:sp macro="" textlink="">
      <xdr:nvSpPr>
        <xdr:cNvPr id="23" name="Rectangle 22">
          <a:extLst>
            <a:ext uri="{FF2B5EF4-FFF2-40B4-BE49-F238E27FC236}">
              <a16:creationId xmlns:a16="http://schemas.microsoft.com/office/drawing/2014/main" id="{7D9FB7B7-CFF4-5335-8F92-CF0A910800EB}"/>
            </a:ext>
          </a:extLst>
        </xdr:cNvPr>
        <xdr:cNvSpPr/>
      </xdr:nvSpPr>
      <xdr:spPr>
        <a:xfrm>
          <a:off x="2480733" y="1840442"/>
          <a:ext cx="4468283" cy="879475"/>
        </a:xfrm>
        <a:prstGeom prst="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a:solidFill>
                <a:schemeClr val="tx1"/>
              </a:solidFill>
            </a:rPr>
            <a:t>  Fill</a:t>
          </a:r>
          <a:r>
            <a:rPr lang="en-US" sz="1600" kern="1200" baseline="0">
              <a:solidFill>
                <a:schemeClr val="tx1"/>
              </a:solidFill>
            </a:rPr>
            <a:t> out the yellow boxes with the relevant information. Greyed out boxes are to be filled out by staff. </a:t>
          </a:r>
          <a:endParaRPr lang="en-US" sz="1600" kern="1200">
            <a:solidFill>
              <a:schemeClr val="tx1"/>
            </a:solidFill>
          </a:endParaRPr>
        </a:p>
      </xdr:txBody>
    </xdr:sp>
    <xdr:clientData/>
  </xdr:twoCellAnchor>
  <xdr:twoCellAnchor>
    <xdr:from>
      <xdr:col>2</xdr:col>
      <xdr:colOff>1337733</xdr:colOff>
      <xdr:row>5</xdr:row>
      <xdr:rowOff>174625</xdr:rowOff>
    </xdr:from>
    <xdr:to>
      <xdr:col>2</xdr:col>
      <xdr:colOff>1966383</xdr:colOff>
      <xdr:row>5</xdr:row>
      <xdr:rowOff>825500</xdr:rowOff>
    </xdr:to>
    <xdr:sp macro="" textlink="">
      <xdr:nvSpPr>
        <xdr:cNvPr id="24" name="Oval 23">
          <a:extLst>
            <a:ext uri="{FF2B5EF4-FFF2-40B4-BE49-F238E27FC236}">
              <a16:creationId xmlns:a16="http://schemas.microsoft.com/office/drawing/2014/main" id="{4D63179B-F9B8-B237-37A5-38642EDF7D1B}"/>
            </a:ext>
          </a:extLst>
        </xdr:cNvPr>
        <xdr:cNvSpPr/>
      </xdr:nvSpPr>
      <xdr:spPr>
        <a:xfrm>
          <a:off x="2004483" y="1582208"/>
          <a:ext cx="628650" cy="650875"/>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4000" b="1" kern="1200"/>
            <a:t>1</a:t>
          </a:r>
        </a:p>
      </xdr:txBody>
    </xdr:sp>
    <xdr:clientData/>
  </xdr:twoCellAnchor>
  <xdr:twoCellAnchor>
    <xdr:from>
      <xdr:col>7</xdr:col>
      <xdr:colOff>219075</xdr:colOff>
      <xdr:row>12</xdr:row>
      <xdr:rowOff>50800</xdr:rowOff>
    </xdr:from>
    <xdr:to>
      <xdr:col>9</xdr:col>
      <xdr:colOff>1194858</xdr:colOff>
      <xdr:row>16</xdr:row>
      <xdr:rowOff>31749</xdr:rowOff>
    </xdr:to>
    <xdr:sp macro="" textlink="">
      <xdr:nvSpPr>
        <xdr:cNvPr id="25" name="Rectangle 24">
          <a:extLst>
            <a:ext uri="{FF2B5EF4-FFF2-40B4-BE49-F238E27FC236}">
              <a16:creationId xmlns:a16="http://schemas.microsoft.com/office/drawing/2014/main" id="{8937059F-908D-4269-97EA-D7C5F01B19F2}"/>
            </a:ext>
          </a:extLst>
        </xdr:cNvPr>
        <xdr:cNvSpPr/>
      </xdr:nvSpPr>
      <xdr:spPr>
        <a:xfrm>
          <a:off x="10417175" y="4787900"/>
          <a:ext cx="3871383" cy="844549"/>
        </a:xfrm>
        <a:prstGeom prst="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  Read the general directions. It lays out the process for filling out the sheet and will clear up confusion.</a:t>
          </a:r>
          <a:endParaRPr lang="en-US" sz="1600" kern="1200">
            <a:solidFill>
              <a:schemeClr val="tx1"/>
            </a:solidFill>
          </a:endParaRPr>
        </a:p>
      </xdr:txBody>
    </xdr:sp>
    <xdr:clientData/>
  </xdr:twoCellAnchor>
  <xdr:twoCellAnchor>
    <xdr:from>
      <xdr:col>6</xdr:col>
      <xdr:colOff>916517</xdr:colOff>
      <xdr:row>11</xdr:row>
      <xdr:rowOff>71967</xdr:rowOff>
    </xdr:from>
    <xdr:to>
      <xdr:col>7</xdr:col>
      <xdr:colOff>354541</xdr:colOff>
      <xdr:row>13</xdr:row>
      <xdr:rowOff>177801</xdr:rowOff>
    </xdr:to>
    <xdr:sp macro="" textlink="">
      <xdr:nvSpPr>
        <xdr:cNvPr id="26" name="Oval 25">
          <a:extLst>
            <a:ext uri="{FF2B5EF4-FFF2-40B4-BE49-F238E27FC236}">
              <a16:creationId xmlns:a16="http://schemas.microsoft.com/office/drawing/2014/main" id="{761AA7E0-494C-4D90-931F-405001C2640F}"/>
            </a:ext>
          </a:extLst>
        </xdr:cNvPr>
        <xdr:cNvSpPr/>
      </xdr:nvSpPr>
      <xdr:spPr>
        <a:xfrm>
          <a:off x="9946217" y="4593167"/>
          <a:ext cx="606424" cy="537634"/>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4000" b="1" kern="1200"/>
            <a:t>2</a:t>
          </a:r>
        </a:p>
      </xdr:txBody>
    </xdr:sp>
    <xdr:clientData/>
  </xdr:twoCellAnchor>
  <xdr:twoCellAnchor>
    <xdr:from>
      <xdr:col>5</xdr:col>
      <xdr:colOff>1162050</xdr:colOff>
      <xdr:row>25</xdr:row>
      <xdr:rowOff>142875</xdr:rowOff>
    </xdr:from>
    <xdr:to>
      <xdr:col>9</xdr:col>
      <xdr:colOff>704850</xdr:colOff>
      <xdr:row>26</xdr:row>
      <xdr:rowOff>295275</xdr:rowOff>
    </xdr:to>
    <xdr:sp macro="" textlink="">
      <xdr:nvSpPr>
        <xdr:cNvPr id="27" name="Rectangle 26">
          <a:extLst>
            <a:ext uri="{FF2B5EF4-FFF2-40B4-BE49-F238E27FC236}">
              <a16:creationId xmlns:a16="http://schemas.microsoft.com/office/drawing/2014/main" id="{6B90EA16-0699-4128-B7F0-DE7911B69E29}"/>
            </a:ext>
          </a:extLst>
        </xdr:cNvPr>
        <xdr:cNvSpPr/>
      </xdr:nvSpPr>
      <xdr:spPr>
        <a:xfrm>
          <a:off x="8420100" y="6543675"/>
          <a:ext cx="4943475" cy="352425"/>
        </a:xfrm>
        <a:prstGeom prst="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  Table 1: Fill out all the boxes in yellow about your parcel.</a:t>
          </a:r>
          <a:endParaRPr lang="en-US" sz="1600" kern="1200">
            <a:solidFill>
              <a:schemeClr val="tx1"/>
            </a:solidFill>
          </a:endParaRPr>
        </a:p>
      </xdr:txBody>
    </xdr:sp>
    <xdr:clientData/>
  </xdr:twoCellAnchor>
  <xdr:twoCellAnchor>
    <xdr:from>
      <xdr:col>5</xdr:col>
      <xdr:colOff>685800</xdr:colOff>
      <xdr:row>24</xdr:row>
      <xdr:rowOff>85725</xdr:rowOff>
    </xdr:from>
    <xdr:to>
      <xdr:col>5</xdr:col>
      <xdr:colOff>1314450</xdr:colOff>
      <xdr:row>26</xdr:row>
      <xdr:rowOff>323850</xdr:rowOff>
    </xdr:to>
    <xdr:sp macro="" textlink="">
      <xdr:nvSpPr>
        <xdr:cNvPr id="28" name="Oval 27">
          <a:extLst>
            <a:ext uri="{FF2B5EF4-FFF2-40B4-BE49-F238E27FC236}">
              <a16:creationId xmlns:a16="http://schemas.microsoft.com/office/drawing/2014/main" id="{E6D6D84E-3642-4F52-A406-2B530FD25526}"/>
            </a:ext>
          </a:extLst>
        </xdr:cNvPr>
        <xdr:cNvSpPr/>
      </xdr:nvSpPr>
      <xdr:spPr>
        <a:xfrm>
          <a:off x="7943850" y="6296025"/>
          <a:ext cx="628650" cy="628650"/>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4000" b="1" kern="1200"/>
            <a:t>3</a:t>
          </a:r>
        </a:p>
      </xdr:txBody>
    </xdr:sp>
    <xdr:clientData/>
  </xdr:twoCellAnchor>
  <xdr:twoCellAnchor>
    <xdr:from>
      <xdr:col>5</xdr:col>
      <xdr:colOff>1162049</xdr:colOff>
      <xdr:row>27</xdr:row>
      <xdr:rowOff>57151</xdr:rowOff>
    </xdr:from>
    <xdr:to>
      <xdr:col>9</xdr:col>
      <xdr:colOff>704849</xdr:colOff>
      <xdr:row>28</xdr:row>
      <xdr:rowOff>254001</xdr:rowOff>
    </xdr:to>
    <xdr:sp macro="" textlink="">
      <xdr:nvSpPr>
        <xdr:cNvPr id="39" name="Rectangle 38">
          <a:hlinkClick xmlns:r="http://schemas.openxmlformats.org/officeDocument/2006/relationships" r:id="rId2"/>
          <a:extLst>
            <a:ext uri="{FF2B5EF4-FFF2-40B4-BE49-F238E27FC236}">
              <a16:creationId xmlns:a16="http://schemas.microsoft.com/office/drawing/2014/main" id="{B0466275-BF40-4498-A5CC-AE1BA31346FF}"/>
            </a:ext>
          </a:extLst>
        </xdr:cNvPr>
        <xdr:cNvSpPr/>
      </xdr:nvSpPr>
      <xdr:spPr>
        <a:xfrm>
          <a:off x="8559799" y="7708901"/>
          <a:ext cx="5051425" cy="609600"/>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Don't know what zone district your property is in? Go to:</a:t>
          </a:r>
        </a:p>
        <a:p>
          <a:pPr algn="l"/>
          <a:r>
            <a:rPr lang="en-US" sz="1600" u="sng" kern="1200" baseline="0">
              <a:solidFill>
                <a:schemeClr val="accent1">
                  <a:lumMod val="75000"/>
                </a:schemeClr>
              </a:solidFill>
            </a:rPr>
            <a:t>Aspen Zoning Map Link</a:t>
          </a:r>
        </a:p>
      </xdr:txBody>
    </xdr:sp>
    <xdr:clientData/>
  </xdr:twoCellAnchor>
  <xdr:twoCellAnchor>
    <xdr:from>
      <xdr:col>5</xdr:col>
      <xdr:colOff>1171574</xdr:colOff>
      <xdr:row>29</xdr:row>
      <xdr:rowOff>0</xdr:rowOff>
    </xdr:from>
    <xdr:to>
      <xdr:col>9</xdr:col>
      <xdr:colOff>714374</xdr:colOff>
      <xdr:row>30</xdr:row>
      <xdr:rowOff>200025</xdr:rowOff>
    </xdr:to>
    <xdr:sp macro="" textlink="">
      <xdr:nvSpPr>
        <xdr:cNvPr id="40" name="Rectangle 39">
          <a:extLst>
            <a:ext uri="{FF2B5EF4-FFF2-40B4-BE49-F238E27FC236}">
              <a16:creationId xmlns:a16="http://schemas.microsoft.com/office/drawing/2014/main" id="{717AD4DA-9402-462C-8AC1-4D77DA297ECE}"/>
            </a:ext>
          </a:extLst>
        </xdr:cNvPr>
        <xdr:cNvSpPr/>
      </xdr:nvSpPr>
      <xdr:spPr>
        <a:xfrm>
          <a:off x="8429624" y="7858125"/>
          <a:ext cx="4943475" cy="619125"/>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If you have a commercial use, please make sure to fill out the NonRes sheet instead.</a:t>
          </a:r>
          <a:endParaRPr lang="en-US" sz="1600" kern="1200">
            <a:solidFill>
              <a:schemeClr val="tx1"/>
            </a:solidFill>
          </a:endParaRPr>
        </a:p>
      </xdr:txBody>
    </xdr:sp>
    <xdr:clientData/>
  </xdr:twoCellAnchor>
  <xdr:twoCellAnchor>
    <xdr:from>
      <xdr:col>5</xdr:col>
      <xdr:colOff>1171574</xdr:colOff>
      <xdr:row>30</xdr:row>
      <xdr:rowOff>371475</xdr:rowOff>
    </xdr:from>
    <xdr:to>
      <xdr:col>9</xdr:col>
      <xdr:colOff>733424</xdr:colOff>
      <xdr:row>33</xdr:row>
      <xdr:rowOff>114300</xdr:rowOff>
    </xdr:to>
    <xdr:sp macro="" textlink="">
      <xdr:nvSpPr>
        <xdr:cNvPr id="41" name="Rectangle 40">
          <a:extLst>
            <a:ext uri="{FF2B5EF4-FFF2-40B4-BE49-F238E27FC236}">
              <a16:creationId xmlns:a16="http://schemas.microsoft.com/office/drawing/2014/main" id="{706C1D9F-AC67-49E0-A3E0-2DD2199B0767}"/>
            </a:ext>
          </a:extLst>
        </xdr:cNvPr>
        <xdr:cNvSpPr/>
      </xdr:nvSpPr>
      <xdr:spPr>
        <a:xfrm>
          <a:off x="8429624" y="8648700"/>
          <a:ext cx="4962525" cy="1143000"/>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Your architect will know what the scope of your project is. If you don't know the scope, wait until you fill out Table 2a to see what percent of the total site lumen allowance you are replacing / adding. </a:t>
          </a:r>
          <a:endParaRPr lang="en-US" sz="1600" kern="1200">
            <a:solidFill>
              <a:schemeClr val="tx1"/>
            </a:solidFill>
          </a:endParaRPr>
        </a:p>
      </xdr:txBody>
    </xdr:sp>
    <xdr:clientData/>
  </xdr:twoCellAnchor>
  <xdr:twoCellAnchor>
    <xdr:from>
      <xdr:col>5</xdr:col>
      <xdr:colOff>1181099</xdr:colOff>
      <xdr:row>33</xdr:row>
      <xdr:rowOff>304800</xdr:rowOff>
    </xdr:from>
    <xdr:to>
      <xdr:col>9</xdr:col>
      <xdr:colOff>723899</xdr:colOff>
      <xdr:row>35</xdr:row>
      <xdr:rowOff>76200</xdr:rowOff>
    </xdr:to>
    <xdr:sp macro="" textlink="">
      <xdr:nvSpPr>
        <xdr:cNvPr id="42" name="Rectangle 41">
          <a:extLst>
            <a:ext uri="{FF2B5EF4-FFF2-40B4-BE49-F238E27FC236}">
              <a16:creationId xmlns:a16="http://schemas.microsoft.com/office/drawing/2014/main" id="{C90EBE49-3EFA-4819-8908-D1F70971D127}"/>
            </a:ext>
          </a:extLst>
        </xdr:cNvPr>
        <xdr:cNvSpPr/>
      </xdr:nvSpPr>
      <xdr:spPr>
        <a:xfrm>
          <a:off x="8439149" y="9982200"/>
          <a:ext cx="4943475" cy="609600"/>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a:solidFill>
                <a:schemeClr val="tx1"/>
              </a:solidFill>
            </a:rPr>
            <a:t>This</a:t>
          </a:r>
          <a:r>
            <a:rPr lang="en-US" sz="1600" kern="1200" baseline="0">
              <a:solidFill>
                <a:schemeClr val="tx1"/>
              </a:solidFill>
            </a:rPr>
            <a:t> is the total number of units on parcel, even if you are just changing the lighting for a single unit. </a:t>
          </a:r>
          <a:endParaRPr lang="en-US" sz="1600" kern="1200">
            <a:solidFill>
              <a:schemeClr val="tx1"/>
            </a:solidFill>
          </a:endParaRPr>
        </a:p>
      </xdr:txBody>
    </xdr:sp>
    <xdr:clientData/>
  </xdr:twoCellAnchor>
  <xdr:twoCellAnchor>
    <xdr:from>
      <xdr:col>3</xdr:col>
      <xdr:colOff>2486025</xdr:colOff>
      <xdr:row>26</xdr:row>
      <xdr:rowOff>355600</xdr:rowOff>
    </xdr:from>
    <xdr:to>
      <xdr:col>5</xdr:col>
      <xdr:colOff>1162049</xdr:colOff>
      <xdr:row>27</xdr:row>
      <xdr:rowOff>361951</xdr:rowOff>
    </xdr:to>
    <xdr:cxnSp macro="">
      <xdr:nvCxnSpPr>
        <xdr:cNvPr id="45" name="Straight Arrow Connector 44">
          <a:extLst>
            <a:ext uri="{FF2B5EF4-FFF2-40B4-BE49-F238E27FC236}">
              <a16:creationId xmlns:a16="http://schemas.microsoft.com/office/drawing/2014/main" id="{B911ADA8-B6F0-73D4-61B4-4AB4DB6B757C}"/>
            </a:ext>
          </a:extLst>
        </xdr:cNvPr>
        <xdr:cNvCxnSpPr>
          <a:stCxn id="39" idx="1"/>
        </xdr:cNvCxnSpPr>
      </xdr:nvCxnSpPr>
      <xdr:spPr>
        <a:xfrm flipH="1" flipV="1">
          <a:off x="4994275" y="7594600"/>
          <a:ext cx="3565524" cy="419101"/>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2505075</xdr:colOff>
      <xdr:row>27</xdr:row>
      <xdr:rowOff>285750</xdr:rowOff>
    </xdr:from>
    <xdr:to>
      <xdr:col>5</xdr:col>
      <xdr:colOff>1171574</xdr:colOff>
      <xdr:row>29</xdr:row>
      <xdr:rowOff>309563</xdr:rowOff>
    </xdr:to>
    <xdr:cxnSp macro="">
      <xdr:nvCxnSpPr>
        <xdr:cNvPr id="46" name="Straight Arrow Connector 45">
          <a:extLst>
            <a:ext uri="{FF2B5EF4-FFF2-40B4-BE49-F238E27FC236}">
              <a16:creationId xmlns:a16="http://schemas.microsoft.com/office/drawing/2014/main" id="{06770E29-11C2-4257-8707-51A1C5FA3992}"/>
            </a:ext>
          </a:extLst>
        </xdr:cNvPr>
        <xdr:cNvCxnSpPr>
          <a:stCxn id="40" idx="1"/>
        </xdr:cNvCxnSpPr>
      </xdr:nvCxnSpPr>
      <xdr:spPr>
        <a:xfrm flipH="1" flipV="1">
          <a:off x="4962525" y="7305675"/>
          <a:ext cx="3467099" cy="862013"/>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2990850</xdr:colOff>
      <xdr:row>30</xdr:row>
      <xdr:rowOff>304800</xdr:rowOff>
    </xdr:from>
    <xdr:to>
      <xdr:col>5</xdr:col>
      <xdr:colOff>1171574</xdr:colOff>
      <xdr:row>31</xdr:row>
      <xdr:rowOff>381000</xdr:rowOff>
    </xdr:to>
    <xdr:cxnSp macro="">
      <xdr:nvCxnSpPr>
        <xdr:cNvPr id="49" name="Straight Arrow Connector 48">
          <a:extLst>
            <a:ext uri="{FF2B5EF4-FFF2-40B4-BE49-F238E27FC236}">
              <a16:creationId xmlns:a16="http://schemas.microsoft.com/office/drawing/2014/main" id="{0417EC76-7BCC-48B2-9963-9F8AC0B318FB}"/>
            </a:ext>
          </a:extLst>
        </xdr:cNvPr>
        <xdr:cNvCxnSpPr>
          <a:stCxn id="41" idx="1"/>
        </xdr:cNvCxnSpPr>
      </xdr:nvCxnSpPr>
      <xdr:spPr>
        <a:xfrm flipH="1" flipV="1">
          <a:off x="5448300" y="8582025"/>
          <a:ext cx="2981324" cy="638175"/>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2973916</xdr:colOff>
      <xdr:row>34</xdr:row>
      <xdr:rowOff>179917</xdr:rowOff>
    </xdr:from>
    <xdr:to>
      <xdr:col>5</xdr:col>
      <xdr:colOff>1181099</xdr:colOff>
      <xdr:row>34</xdr:row>
      <xdr:rowOff>190501</xdr:rowOff>
    </xdr:to>
    <xdr:cxnSp macro="">
      <xdr:nvCxnSpPr>
        <xdr:cNvPr id="52" name="Straight Arrow Connector 51">
          <a:extLst>
            <a:ext uri="{FF2B5EF4-FFF2-40B4-BE49-F238E27FC236}">
              <a16:creationId xmlns:a16="http://schemas.microsoft.com/office/drawing/2014/main" id="{DC3CD6FF-57BF-4BD3-BDB7-37E6CAE641FD}"/>
            </a:ext>
          </a:extLst>
        </xdr:cNvPr>
        <xdr:cNvCxnSpPr>
          <a:stCxn id="42" idx="1"/>
        </xdr:cNvCxnSpPr>
      </xdr:nvCxnSpPr>
      <xdr:spPr>
        <a:xfrm flipH="1" flipV="1">
          <a:off x="5471583" y="10477500"/>
          <a:ext cx="3096683" cy="10584"/>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819150</xdr:colOff>
      <xdr:row>42</xdr:row>
      <xdr:rowOff>53975</xdr:rowOff>
    </xdr:from>
    <xdr:to>
      <xdr:col>11</xdr:col>
      <xdr:colOff>260350</xdr:colOff>
      <xdr:row>47</xdr:row>
      <xdr:rowOff>263525</xdr:rowOff>
    </xdr:to>
    <xdr:sp macro="" textlink="">
      <xdr:nvSpPr>
        <xdr:cNvPr id="61" name="Rectangle 60">
          <a:extLst>
            <a:ext uri="{FF2B5EF4-FFF2-40B4-BE49-F238E27FC236}">
              <a16:creationId xmlns:a16="http://schemas.microsoft.com/office/drawing/2014/main" id="{91C44E8B-7460-4DBC-A82A-0A71F8CA5B91}"/>
            </a:ext>
          </a:extLst>
        </xdr:cNvPr>
        <xdr:cNvSpPr/>
      </xdr:nvSpPr>
      <xdr:spPr>
        <a:xfrm>
          <a:off x="12900025" y="17357725"/>
          <a:ext cx="5013325" cy="1416050"/>
        </a:xfrm>
        <a:prstGeom prst="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  Table 2a: This table provides us with a list of all lighting fixtures that will be on the parcel upon completion. That includes both new / added fixtures as well as any features on the property that are to remain. Fill out all the columns for all lighting fixtures on the whole parcel.</a:t>
          </a:r>
          <a:endParaRPr lang="en-US" sz="1600" kern="1200">
            <a:solidFill>
              <a:schemeClr val="tx1"/>
            </a:solidFill>
          </a:endParaRPr>
        </a:p>
      </xdr:txBody>
    </xdr:sp>
    <xdr:clientData/>
  </xdr:twoCellAnchor>
  <xdr:twoCellAnchor>
    <xdr:from>
      <xdr:col>8</xdr:col>
      <xdr:colOff>327025</xdr:colOff>
      <xdr:row>41</xdr:row>
      <xdr:rowOff>419101</xdr:rowOff>
    </xdr:from>
    <xdr:to>
      <xdr:col>8</xdr:col>
      <xdr:colOff>975360</xdr:colOff>
      <xdr:row>44</xdr:row>
      <xdr:rowOff>50165</xdr:rowOff>
    </xdr:to>
    <xdr:sp macro="" textlink="">
      <xdr:nvSpPr>
        <xdr:cNvPr id="62" name="Oval 61">
          <a:extLst>
            <a:ext uri="{FF2B5EF4-FFF2-40B4-BE49-F238E27FC236}">
              <a16:creationId xmlns:a16="http://schemas.microsoft.com/office/drawing/2014/main" id="{FB2C6309-3F47-47B0-9BB8-7FA39F4930FC}"/>
            </a:ext>
          </a:extLst>
        </xdr:cNvPr>
        <xdr:cNvSpPr/>
      </xdr:nvSpPr>
      <xdr:spPr>
        <a:xfrm>
          <a:off x="12417425" y="17602201"/>
          <a:ext cx="648335" cy="621664"/>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4000" b="1" kern="1200"/>
            <a:t>4</a:t>
          </a:r>
        </a:p>
      </xdr:txBody>
    </xdr:sp>
    <xdr:clientData/>
  </xdr:twoCellAnchor>
  <xdr:twoCellAnchor>
    <xdr:from>
      <xdr:col>2</xdr:col>
      <xdr:colOff>581025</xdr:colOff>
      <xdr:row>48</xdr:row>
      <xdr:rowOff>171451</xdr:rowOff>
    </xdr:from>
    <xdr:to>
      <xdr:col>3</xdr:col>
      <xdr:colOff>1704975</xdr:colOff>
      <xdr:row>48</xdr:row>
      <xdr:rowOff>1009651</xdr:rowOff>
    </xdr:to>
    <xdr:sp macro="" textlink="">
      <xdr:nvSpPr>
        <xdr:cNvPr id="63" name="Rectangle 62">
          <a:extLst>
            <a:ext uri="{FF2B5EF4-FFF2-40B4-BE49-F238E27FC236}">
              <a16:creationId xmlns:a16="http://schemas.microsoft.com/office/drawing/2014/main" id="{99C05116-7505-455C-8056-65AC458FE4B4}"/>
            </a:ext>
          </a:extLst>
        </xdr:cNvPr>
        <xdr:cNvSpPr/>
      </xdr:nvSpPr>
      <xdr:spPr>
        <a:xfrm>
          <a:off x="809625" y="16563976"/>
          <a:ext cx="3352800" cy="838200"/>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Check the definitions glossary (or COA Land Use Code) for an explanation of some of the fixture types. </a:t>
          </a:r>
          <a:endParaRPr lang="en-US" sz="1600" kern="1200">
            <a:solidFill>
              <a:schemeClr val="tx1"/>
            </a:solidFill>
          </a:endParaRPr>
        </a:p>
      </xdr:txBody>
    </xdr:sp>
    <xdr:clientData/>
  </xdr:twoCellAnchor>
  <xdr:twoCellAnchor>
    <xdr:from>
      <xdr:col>3</xdr:col>
      <xdr:colOff>28575</xdr:colOff>
      <xdr:row>48</xdr:row>
      <xdr:rowOff>1009651</xdr:rowOff>
    </xdr:from>
    <xdr:to>
      <xdr:col>3</xdr:col>
      <xdr:colOff>1038225</xdr:colOff>
      <xdr:row>49</xdr:row>
      <xdr:rowOff>352425</xdr:rowOff>
    </xdr:to>
    <xdr:cxnSp macro="">
      <xdr:nvCxnSpPr>
        <xdr:cNvPr id="64" name="Straight Arrow Connector 63">
          <a:extLst>
            <a:ext uri="{FF2B5EF4-FFF2-40B4-BE49-F238E27FC236}">
              <a16:creationId xmlns:a16="http://schemas.microsoft.com/office/drawing/2014/main" id="{686C8E17-8367-4FDE-967A-5AB511912D0A}"/>
            </a:ext>
          </a:extLst>
        </xdr:cNvPr>
        <xdr:cNvCxnSpPr>
          <a:stCxn id="63" idx="2"/>
        </xdr:cNvCxnSpPr>
      </xdr:nvCxnSpPr>
      <xdr:spPr>
        <a:xfrm>
          <a:off x="2486025" y="17402176"/>
          <a:ext cx="1009650" cy="695324"/>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2057400</xdr:colOff>
      <xdr:row>48</xdr:row>
      <xdr:rowOff>171451</xdr:rowOff>
    </xdr:from>
    <xdr:to>
      <xdr:col>5</xdr:col>
      <xdr:colOff>1314450</xdr:colOff>
      <xdr:row>48</xdr:row>
      <xdr:rowOff>1009651</xdr:rowOff>
    </xdr:to>
    <xdr:sp macro="" textlink="">
      <xdr:nvSpPr>
        <xdr:cNvPr id="67" name="Rectangle 66">
          <a:extLst>
            <a:ext uri="{FF2B5EF4-FFF2-40B4-BE49-F238E27FC236}">
              <a16:creationId xmlns:a16="http://schemas.microsoft.com/office/drawing/2014/main" id="{1417BC9B-5539-4C9B-B8A7-085048B62891}"/>
            </a:ext>
          </a:extLst>
        </xdr:cNvPr>
        <xdr:cNvSpPr/>
      </xdr:nvSpPr>
      <xdr:spPr>
        <a:xfrm>
          <a:off x="4514850" y="16563976"/>
          <a:ext cx="4057650" cy="838200"/>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New fixtures are considered "proposed", existing fixtures that will still remain on the parcel are "existing to remain". </a:t>
          </a:r>
          <a:endParaRPr lang="en-US" sz="1600" kern="1200">
            <a:solidFill>
              <a:schemeClr val="tx1"/>
            </a:solidFill>
          </a:endParaRPr>
        </a:p>
      </xdr:txBody>
    </xdr:sp>
    <xdr:clientData/>
  </xdr:twoCellAnchor>
  <xdr:twoCellAnchor>
    <xdr:from>
      <xdr:col>4</xdr:col>
      <xdr:colOff>819150</xdr:colOff>
      <xdr:row>48</xdr:row>
      <xdr:rowOff>1009651</xdr:rowOff>
    </xdr:from>
    <xdr:to>
      <xdr:col>4</xdr:col>
      <xdr:colOff>838200</xdr:colOff>
      <xdr:row>49</xdr:row>
      <xdr:rowOff>219075</xdr:rowOff>
    </xdr:to>
    <xdr:cxnSp macro="">
      <xdr:nvCxnSpPr>
        <xdr:cNvPr id="68" name="Straight Arrow Connector 67">
          <a:extLst>
            <a:ext uri="{FF2B5EF4-FFF2-40B4-BE49-F238E27FC236}">
              <a16:creationId xmlns:a16="http://schemas.microsoft.com/office/drawing/2014/main" id="{1C175B20-1AC5-4CB3-A59F-7183DCE60746}"/>
            </a:ext>
          </a:extLst>
        </xdr:cNvPr>
        <xdr:cNvCxnSpPr>
          <a:stCxn id="67" idx="2"/>
        </xdr:cNvCxnSpPr>
      </xdr:nvCxnSpPr>
      <xdr:spPr>
        <a:xfrm flipH="1">
          <a:off x="6524625" y="17402176"/>
          <a:ext cx="19050" cy="561974"/>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904875</xdr:colOff>
      <xdr:row>48</xdr:row>
      <xdr:rowOff>161926</xdr:rowOff>
    </xdr:from>
    <xdr:to>
      <xdr:col>8</xdr:col>
      <xdr:colOff>1066800</xdr:colOff>
      <xdr:row>48</xdr:row>
      <xdr:rowOff>1000126</xdr:rowOff>
    </xdr:to>
    <xdr:sp macro="" textlink="">
      <xdr:nvSpPr>
        <xdr:cNvPr id="71" name="Rectangle 70">
          <a:extLst>
            <a:ext uri="{FF2B5EF4-FFF2-40B4-BE49-F238E27FC236}">
              <a16:creationId xmlns:a16="http://schemas.microsoft.com/office/drawing/2014/main" id="{838716C4-B20C-419A-B4DD-CF8699C40C48}"/>
            </a:ext>
          </a:extLst>
        </xdr:cNvPr>
        <xdr:cNvSpPr/>
      </xdr:nvSpPr>
      <xdr:spPr>
        <a:xfrm>
          <a:off x="9505950" y="16554451"/>
          <a:ext cx="2343150" cy="838200"/>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a:solidFill>
                <a:schemeClr val="tx1"/>
              </a:solidFill>
            </a:rPr>
            <a:t>The</a:t>
          </a:r>
          <a:r>
            <a:rPr lang="en-US" sz="1600" kern="1200" baseline="0">
              <a:solidFill>
                <a:schemeClr val="tx1"/>
              </a:solidFill>
            </a:rPr>
            <a:t> definitions glossary has an explanation for what this means.</a:t>
          </a:r>
          <a:endParaRPr lang="en-US" sz="1600" kern="1200">
            <a:solidFill>
              <a:schemeClr val="tx1"/>
            </a:solidFill>
          </a:endParaRPr>
        </a:p>
      </xdr:txBody>
    </xdr:sp>
    <xdr:clientData/>
  </xdr:twoCellAnchor>
  <xdr:twoCellAnchor>
    <xdr:from>
      <xdr:col>7</xdr:col>
      <xdr:colOff>914400</xdr:colOff>
      <xdr:row>48</xdr:row>
      <xdr:rowOff>1000126</xdr:rowOff>
    </xdr:from>
    <xdr:to>
      <xdr:col>8</xdr:col>
      <xdr:colOff>962025</xdr:colOff>
      <xdr:row>49</xdr:row>
      <xdr:rowOff>161925</xdr:rowOff>
    </xdr:to>
    <xdr:cxnSp macro="">
      <xdr:nvCxnSpPr>
        <xdr:cNvPr id="72" name="Straight Arrow Connector 71">
          <a:extLst>
            <a:ext uri="{FF2B5EF4-FFF2-40B4-BE49-F238E27FC236}">
              <a16:creationId xmlns:a16="http://schemas.microsoft.com/office/drawing/2014/main" id="{3DA4DB44-2FDD-4D37-929C-B098C94D6491}"/>
            </a:ext>
          </a:extLst>
        </xdr:cNvPr>
        <xdr:cNvCxnSpPr>
          <a:stCxn id="71" idx="2"/>
        </xdr:cNvCxnSpPr>
      </xdr:nvCxnSpPr>
      <xdr:spPr>
        <a:xfrm>
          <a:off x="10677525" y="17392651"/>
          <a:ext cx="1066800" cy="514349"/>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1352550</xdr:colOff>
      <xdr:row>48</xdr:row>
      <xdr:rowOff>171450</xdr:rowOff>
    </xdr:from>
    <xdr:to>
      <xdr:col>10</xdr:col>
      <xdr:colOff>1304925</xdr:colOff>
      <xdr:row>48</xdr:row>
      <xdr:rowOff>1009650</xdr:rowOff>
    </xdr:to>
    <xdr:sp macro="" textlink="">
      <xdr:nvSpPr>
        <xdr:cNvPr id="76" name="Rectangle 75">
          <a:extLst>
            <a:ext uri="{FF2B5EF4-FFF2-40B4-BE49-F238E27FC236}">
              <a16:creationId xmlns:a16="http://schemas.microsoft.com/office/drawing/2014/main" id="{8E850547-E53D-4208-BD1A-0A9C7D0592FB}"/>
            </a:ext>
          </a:extLst>
        </xdr:cNvPr>
        <xdr:cNvSpPr/>
      </xdr:nvSpPr>
      <xdr:spPr>
        <a:xfrm>
          <a:off x="12134850" y="16563975"/>
          <a:ext cx="4057650" cy="838200"/>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Some mounting types have specific requirements. If you do not see a specific mounting type that is accurate, choose other.</a:t>
          </a:r>
          <a:endParaRPr lang="en-US" sz="1600" kern="1200">
            <a:solidFill>
              <a:schemeClr val="tx1"/>
            </a:solidFill>
          </a:endParaRPr>
        </a:p>
      </xdr:txBody>
    </xdr:sp>
    <xdr:clientData/>
  </xdr:twoCellAnchor>
  <xdr:twoCellAnchor>
    <xdr:from>
      <xdr:col>9</xdr:col>
      <xdr:colOff>1181100</xdr:colOff>
      <xdr:row>48</xdr:row>
      <xdr:rowOff>1009650</xdr:rowOff>
    </xdr:from>
    <xdr:to>
      <xdr:col>9</xdr:col>
      <xdr:colOff>1504950</xdr:colOff>
      <xdr:row>49</xdr:row>
      <xdr:rowOff>171450</xdr:rowOff>
    </xdr:to>
    <xdr:cxnSp macro="">
      <xdr:nvCxnSpPr>
        <xdr:cNvPr id="77" name="Straight Arrow Connector 76">
          <a:extLst>
            <a:ext uri="{FF2B5EF4-FFF2-40B4-BE49-F238E27FC236}">
              <a16:creationId xmlns:a16="http://schemas.microsoft.com/office/drawing/2014/main" id="{3F1AD603-5E99-41F4-9D77-9B2A59CD960B}"/>
            </a:ext>
          </a:extLst>
        </xdr:cNvPr>
        <xdr:cNvCxnSpPr>
          <a:stCxn id="76" idx="2"/>
        </xdr:cNvCxnSpPr>
      </xdr:nvCxnSpPr>
      <xdr:spPr>
        <a:xfrm flipH="1">
          <a:off x="13839825" y="17402175"/>
          <a:ext cx="323850" cy="514350"/>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190500</xdr:colOff>
      <xdr:row>48</xdr:row>
      <xdr:rowOff>171451</xdr:rowOff>
    </xdr:from>
    <xdr:to>
      <xdr:col>12</xdr:col>
      <xdr:colOff>1524000</xdr:colOff>
      <xdr:row>48</xdr:row>
      <xdr:rowOff>1009651</xdr:rowOff>
    </xdr:to>
    <xdr:sp macro="" textlink="">
      <xdr:nvSpPr>
        <xdr:cNvPr id="79" name="Rectangle 78">
          <a:extLst>
            <a:ext uri="{FF2B5EF4-FFF2-40B4-BE49-F238E27FC236}">
              <a16:creationId xmlns:a16="http://schemas.microsoft.com/office/drawing/2014/main" id="{1B9B800B-91B4-4066-AF4A-985015E8C816}"/>
            </a:ext>
          </a:extLst>
        </xdr:cNvPr>
        <xdr:cNvSpPr/>
      </xdr:nvSpPr>
      <xdr:spPr>
        <a:xfrm>
          <a:off x="17132300" y="20123151"/>
          <a:ext cx="2603500" cy="838200"/>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a:solidFill>
                <a:schemeClr val="tx1"/>
              </a:solidFill>
            </a:rPr>
            <a:t>Even if there is no maximum mounting height, please enter a number to validate.</a:t>
          </a:r>
        </a:p>
      </xdr:txBody>
    </xdr:sp>
    <xdr:clientData/>
  </xdr:twoCellAnchor>
  <xdr:twoCellAnchor>
    <xdr:from>
      <xdr:col>11</xdr:col>
      <xdr:colOff>1092200</xdr:colOff>
      <xdr:row>48</xdr:row>
      <xdr:rowOff>1009651</xdr:rowOff>
    </xdr:from>
    <xdr:to>
      <xdr:col>12</xdr:col>
      <xdr:colOff>222250</xdr:colOff>
      <xdr:row>49</xdr:row>
      <xdr:rowOff>101600</xdr:rowOff>
    </xdr:to>
    <xdr:cxnSp macro="">
      <xdr:nvCxnSpPr>
        <xdr:cNvPr id="80" name="Straight Arrow Connector 79">
          <a:extLst>
            <a:ext uri="{FF2B5EF4-FFF2-40B4-BE49-F238E27FC236}">
              <a16:creationId xmlns:a16="http://schemas.microsoft.com/office/drawing/2014/main" id="{E76B978E-B854-4DFF-B2D8-6A8C946F6C61}"/>
            </a:ext>
          </a:extLst>
        </xdr:cNvPr>
        <xdr:cNvCxnSpPr>
          <a:stCxn id="79" idx="2"/>
        </xdr:cNvCxnSpPr>
      </xdr:nvCxnSpPr>
      <xdr:spPr>
        <a:xfrm flipH="1">
          <a:off x="18034000" y="20961351"/>
          <a:ext cx="400050" cy="438149"/>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38099</xdr:colOff>
      <xdr:row>48</xdr:row>
      <xdr:rowOff>161925</xdr:rowOff>
    </xdr:from>
    <xdr:to>
      <xdr:col>16</xdr:col>
      <xdr:colOff>368300</xdr:colOff>
      <xdr:row>48</xdr:row>
      <xdr:rowOff>1000125</xdr:rowOff>
    </xdr:to>
    <xdr:sp macro="" textlink="">
      <xdr:nvSpPr>
        <xdr:cNvPr id="83" name="Rectangle 82">
          <a:extLst>
            <a:ext uri="{FF2B5EF4-FFF2-40B4-BE49-F238E27FC236}">
              <a16:creationId xmlns:a16="http://schemas.microsoft.com/office/drawing/2014/main" id="{9646D795-7177-4732-9BFA-A748B83B28F5}"/>
            </a:ext>
          </a:extLst>
        </xdr:cNvPr>
        <xdr:cNvSpPr/>
      </xdr:nvSpPr>
      <xdr:spPr>
        <a:xfrm>
          <a:off x="19913599" y="20113625"/>
          <a:ext cx="5715001" cy="838200"/>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New fixtures must pass. Existing fixtures must comply unless full parcel compliance is not required. Error explanations will still appear if an existing to remain fixture does not meet current code. </a:t>
          </a:r>
          <a:endParaRPr lang="en-US" sz="1600" kern="1200">
            <a:solidFill>
              <a:schemeClr val="tx1"/>
            </a:solidFill>
          </a:endParaRPr>
        </a:p>
      </xdr:txBody>
    </xdr:sp>
    <xdr:clientData/>
  </xdr:twoCellAnchor>
  <xdr:twoCellAnchor>
    <xdr:from>
      <xdr:col>12</xdr:col>
      <xdr:colOff>1625600</xdr:colOff>
      <xdr:row>48</xdr:row>
      <xdr:rowOff>1000125</xdr:rowOff>
    </xdr:from>
    <xdr:to>
      <xdr:col>13</xdr:col>
      <xdr:colOff>2895600</xdr:colOff>
      <xdr:row>49</xdr:row>
      <xdr:rowOff>63500</xdr:rowOff>
    </xdr:to>
    <xdr:cxnSp macro="">
      <xdr:nvCxnSpPr>
        <xdr:cNvPr id="84" name="Straight Arrow Connector 83">
          <a:extLst>
            <a:ext uri="{FF2B5EF4-FFF2-40B4-BE49-F238E27FC236}">
              <a16:creationId xmlns:a16="http://schemas.microsoft.com/office/drawing/2014/main" id="{7EF827BF-DBF5-4A9A-9D49-1A19811DB6DF}"/>
            </a:ext>
          </a:extLst>
        </xdr:cNvPr>
        <xdr:cNvCxnSpPr>
          <a:stCxn id="83" idx="2"/>
        </xdr:cNvCxnSpPr>
      </xdr:nvCxnSpPr>
      <xdr:spPr>
        <a:xfrm flipH="1">
          <a:off x="19837400" y="20951825"/>
          <a:ext cx="2933700" cy="409575"/>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596899</xdr:colOff>
      <xdr:row>49</xdr:row>
      <xdr:rowOff>95250</xdr:rowOff>
    </xdr:from>
    <xdr:to>
      <xdr:col>16</xdr:col>
      <xdr:colOff>412749</xdr:colOff>
      <xdr:row>52</xdr:row>
      <xdr:rowOff>12700</xdr:rowOff>
    </xdr:to>
    <xdr:sp macro="" textlink="">
      <xdr:nvSpPr>
        <xdr:cNvPr id="87" name="Rectangle 86">
          <a:extLst>
            <a:ext uri="{FF2B5EF4-FFF2-40B4-BE49-F238E27FC236}">
              <a16:creationId xmlns:a16="http://schemas.microsoft.com/office/drawing/2014/main" id="{FDE1984B-130A-4D50-8884-3503C3CA961C}"/>
            </a:ext>
          </a:extLst>
        </xdr:cNvPr>
        <xdr:cNvSpPr/>
      </xdr:nvSpPr>
      <xdr:spPr>
        <a:xfrm>
          <a:off x="23583899" y="21393150"/>
          <a:ext cx="2089150" cy="882650"/>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a:solidFill>
                <a:schemeClr val="tx1"/>
              </a:solidFill>
            </a:rPr>
            <a:t>Explanations</a:t>
          </a:r>
          <a:r>
            <a:rPr lang="en-US" sz="1600" kern="1200" baseline="0">
              <a:solidFill>
                <a:schemeClr val="tx1"/>
              </a:solidFill>
            </a:rPr>
            <a:t> for why a specific fixture does not meet code. </a:t>
          </a:r>
          <a:endParaRPr lang="en-US" sz="1600" kern="1200">
            <a:solidFill>
              <a:schemeClr val="tx1"/>
            </a:solidFill>
          </a:endParaRPr>
        </a:p>
      </xdr:txBody>
    </xdr:sp>
    <xdr:clientData/>
  </xdr:twoCellAnchor>
  <xdr:twoCellAnchor>
    <xdr:from>
      <xdr:col>13</xdr:col>
      <xdr:colOff>2476500</xdr:colOff>
      <xdr:row>50</xdr:row>
      <xdr:rowOff>168275</xdr:rowOff>
    </xdr:from>
    <xdr:to>
      <xdr:col>14</xdr:col>
      <xdr:colOff>596899</xdr:colOff>
      <xdr:row>50</xdr:row>
      <xdr:rowOff>241300</xdr:rowOff>
    </xdr:to>
    <xdr:cxnSp macro="">
      <xdr:nvCxnSpPr>
        <xdr:cNvPr id="88" name="Straight Arrow Connector 87">
          <a:extLst>
            <a:ext uri="{FF2B5EF4-FFF2-40B4-BE49-F238E27FC236}">
              <a16:creationId xmlns:a16="http://schemas.microsoft.com/office/drawing/2014/main" id="{51CE038C-5780-415F-B659-D91224D866D0}"/>
            </a:ext>
          </a:extLst>
        </xdr:cNvPr>
        <xdr:cNvCxnSpPr>
          <a:stCxn id="87" idx="1"/>
        </xdr:cNvCxnSpPr>
      </xdr:nvCxnSpPr>
      <xdr:spPr>
        <a:xfrm flipH="1">
          <a:off x="22352000" y="21834475"/>
          <a:ext cx="1231899" cy="73025"/>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733425</xdr:colOff>
      <xdr:row>63</xdr:row>
      <xdr:rowOff>1181100</xdr:rowOff>
    </xdr:from>
    <xdr:to>
      <xdr:col>10</xdr:col>
      <xdr:colOff>552450</xdr:colOff>
      <xdr:row>68</xdr:row>
      <xdr:rowOff>76200</xdr:rowOff>
    </xdr:to>
    <xdr:sp macro="" textlink="">
      <xdr:nvSpPr>
        <xdr:cNvPr id="92" name="Rectangle 91">
          <a:extLst>
            <a:ext uri="{FF2B5EF4-FFF2-40B4-BE49-F238E27FC236}">
              <a16:creationId xmlns:a16="http://schemas.microsoft.com/office/drawing/2014/main" id="{B773C169-43A3-4CAF-8417-BDED660B5791}"/>
            </a:ext>
          </a:extLst>
        </xdr:cNvPr>
        <xdr:cNvSpPr/>
      </xdr:nvSpPr>
      <xdr:spPr>
        <a:xfrm>
          <a:off x="10496550" y="21888450"/>
          <a:ext cx="4943475" cy="1095375"/>
        </a:xfrm>
        <a:prstGeom prst="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  Table 2b: This table contains an analysis of the proposed parcel lighting as a whole. It also will indicate if filling out Table 3a is necessary. There is nothing for the applicant to fill out in this table. </a:t>
          </a:r>
          <a:endParaRPr lang="en-US" sz="1600" kern="1200">
            <a:solidFill>
              <a:schemeClr val="tx1"/>
            </a:solidFill>
          </a:endParaRPr>
        </a:p>
      </xdr:txBody>
    </xdr:sp>
    <xdr:clientData/>
  </xdr:twoCellAnchor>
  <xdr:twoCellAnchor>
    <xdr:from>
      <xdr:col>7</xdr:col>
      <xdr:colOff>257175</xdr:colOff>
      <xdr:row>63</xdr:row>
      <xdr:rowOff>933450</xdr:rowOff>
    </xdr:from>
    <xdr:to>
      <xdr:col>7</xdr:col>
      <xdr:colOff>885825</xdr:colOff>
      <xdr:row>64</xdr:row>
      <xdr:rowOff>95250</xdr:rowOff>
    </xdr:to>
    <xdr:sp macro="" textlink="">
      <xdr:nvSpPr>
        <xdr:cNvPr id="93" name="Oval 92">
          <a:extLst>
            <a:ext uri="{FF2B5EF4-FFF2-40B4-BE49-F238E27FC236}">
              <a16:creationId xmlns:a16="http://schemas.microsoft.com/office/drawing/2014/main" id="{ABC49965-6626-449F-9906-6B44AC855ED1}"/>
            </a:ext>
          </a:extLst>
        </xdr:cNvPr>
        <xdr:cNvSpPr/>
      </xdr:nvSpPr>
      <xdr:spPr>
        <a:xfrm>
          <a:off x="10020300" y="21640800"/>
          <a:ext cx="628650" cy="628650"/>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4000" b="1" kern="1200"/>
            <a:t>5</a:t>
          </a:r>
        </a:p>
      </xdr:txBody>
    </xdr:sp>
    <xdr:clientData/>
  </xdr:twoCellAnchor>
  <xdr:twoCellAnchor>
    <xdr:from>
      <xdr:col>2</xdr:col>
      <xdr:colOff>1743076</xdr:colOff>
      <xdr:row>63</xdr:row>
      <xdr:rowOff>295275</xdr:rowOff>
    </xdr:from>
    <xdr:to>
      <xdr:col>3</xdr:col>
      <xdr:colOff>3162300</xdr:colOff>
      <xdr:row>63</xdr:row>
      <xdr:rowOff>1381125</xdr:rowOff>
    </xdr:to>
    <xdr:sp macro="" textlink="">
      <xdr:nvSpPr>
        <xdr:cNvPr id="94" name="Rectangle 93">
          <a:extLst>
            <a:ext uri="{FF2B5EF4-FFF2-40B4-BE49-F238E27FC236}">
              <a16:creationId xmlns:a16="http://schemas.microsoft.com/office/drawing/2014/main" id="{3B390DDA-E73D-4600-B64F-BFB2566A8DED}"/>
            </a:ext>
          </a:extLst>
        </xdr:cNvPr>
        <xdr:cNvSpPr/>
      </xdr:nvSpPr>
      <xdr:spPr>
        <a:xfrm>
          <a:off x="1971676" y="21002625"/>
          <a:ext cx="3648074" cy="1085850"/>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Calculated lumen allowance based on values in Table 1. Base lumen allowance is based on the parcel, additional lumens are based on use and other features. </a:t>
          </a:r>
          <a:endParaRPr lang="en-US" sz="1600" kern="1200">
            <a:solidFill>
              <a:schemeClr val="tx1"/>
            </a:solidFill>
          </a:endParaRPr>
        </a:p>
      </xdr:txBody>
    </xdr:sp>
    <xdr:clientData/>
  </xdr:twoCellAnchor>
  <xdr:twoCellAnchor>
    <xdr:from>
      <xdr:col>2</xdr:col>
      <xdr:colOff>2114550</xdr:colOff>
      <xdr:row>63</xdr:row>
      <xdr:rowOff>1381125</xdr:rowOff>
    </xdr:from>
    <xdr:to>
      <xdr:col>3</xdr:col>
      <xdr:colOff>1338263</xdr:colOff>
      <xdr:row>68</xdr:row>
      <xdr:rowOff>28575</xdr:rowOff>
    </xdr:to>
    <xdr:cxnSp macro="">
      <xdr:nvCxnSpPr>
        <xdr:cNvPr id="95" name="Straight Arrow Connector 94">
          <a:extLst>
            <a:ext uri="{FF2B5EF4-FFF2-40B4-BE49-F238E27FC236}">
              <a16:creationId xmlns:a16="http://schemas.microsoft.com/office/drawing/2014/main" id="{4337A410-555B-45ED-AB0F-020F2C94DB73}"/>
            </a:ext>
          </a:extLst>
        </xdr:cNvPr>
        <xdr:cNvCxnSpPr>
          <a:stCxn id="94" idx="2"/>
        </xdr:cNvCxnSpPr>
      </xdr:nvCxnSpPr>
      <xdr:spPr>
        <a:xfrm flipH="1">
          <a:off x="2343150" y="22088475"/>
          <a:ext cx="1452563" cy="847725"/>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278766</xdr:colOff>
      <xdr:row>63</xdr:row>
      <xdr:rowOff>213360</xdr:rowOff>
    </xdr:from>
    <xdr:to>
      <xdr:col>7</xdr:col>
      <xdr:colOff>114300</xdr:colOff>
      <xdr:row>64</xdr:row>
      <xdr:rowOff>177165</xdr:rowOff>
    </xdr:to>
    <xdr:sp macro="" textlink="">
      <xdr:nvSpPr>
        <xdr:cNvPr id="102" name="Rectangle 101">
          <a:extLst>
            <a:ext uri="{FF2B5EF4-FFF2-40B4-BE49-F238E27FC236}">
              <a16:creationId xmlns:a16="http://schemas.microsoft.com/office/drawing/2014/main" id="{13D55D3E-BCE5-494B-81C7-571B38F0AC31}"/>
            </a:ext>
          </a:extLst>
        </xdr:cNvPr>
        <xdr:cNvSpPr/>
      </xdr:nvSpPr>
      <xdr:spPr>
        <a:xfrm>
          <a:off x="7187566" y="24317960"/>
          <a:ext cx="3975734" cy="1424305"/>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a:solidFill>
                <a:schemeClr val="tx1"/>
              </a:solidFill>
            </a:rPr>
            <a:t>For</a:t>
          </a:r>
          <a:r>
            <a:rPr lang="en-US" sz="1600" kern="1200" baseline="0">
              <a:solidFill>
                <a:schemeClr val="tx1"/>
              </a:solidFill>
            </a:rPr>
            <a:t> parcels that require full lighting compliance, both percent unshielded and total proposed lumens must pass. This parcel does not pass because the total lumens on the proposed parcel are too high. </a:t>
          </a:r>
          <a:endParaRPr lang="en-US" sz="1600" kern="1200">
            <a:solidFill>
              <a:schemeClr val="tx1"/>
            </a:solidFill>
          </a:endParaRPr>
        </a:p>
      </xdr:txBody>
    </xdr:sp>
    <xdr:clientData/>
  </xdr:twoCellAnchor>
  <xdr:twoCellAnchor>
    <xdr:from>
      <xdr:col>5</xdr:col>
      <xdr:colOff>680403</xdr:colOff>
      <xdr:row>64</xdr:row>
      <xdr:rowOff>174625</xdr:rowOff>
    </xdr:from>
    <xdr:to>
      <xdr:col>5</xdr:col>
      <xdr:colOff>711200</xdr:colOff>
      <xdr:row>72</xdr:row>
      <xdr:rowOff>863600</xdr:rowOff>
    </xdr:to>
    <xdr:cxnSp macro="">
      <xdr:nvCxnSpPr>
        <xdr:cNvPr id="103" name="Straight Arrow Connector 102">
          <a:extLst>
            <a:ext uri="{FF2B5EF4-FFF2-40B4-BE49-F238E27FC236}">
              <a16:creationId xmlns:a16="http://schemas.microsoft.com/office/drawing/2014/main" id="{1FBD250C-5C71-4A72-ADBF-E310DFA892A2}"/>
            </a:ext>
          </a:extLst>
        </xdr:cNvPr>
        <xdr:cNvCxnSpPr>
          <a:stCxn id="102" idx="2"/>
        </xdr:cNvCxnSpPr>
      </xdr:nvCxnSpPr>
      <xdr:spPr>
        <a:xfrm>
          <a:off x="9176703" y="25739725"/>
          <a:ext cx="30797" cy="1819275"/>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1981200</xdr:colOff>
      <xdr:row>76</xdr:row>
      <xdr:rowOff>400050</xdr:rowOff>
    </xdr:from>
    <xdr:to>
      <xdr:col>4</xdr:col>
      <xdr:colOff>390525</xdr:colOff>
      <xdr:row>76</xdr:row>
      <xdr:rowOff>1047750</xdr:rowOff>
    </xdr:to>
    <xdr:sp macro="" textlink="">
      <xdr:nvSpPr>
        <xdr:cNvPr id="112" name="Rectangle 111">
          <a:extLst>
            <a:ext uri="{FF2B5EF4-FFF2-40B4-BE49-F238E27FC236}">
              <a16:creationId xmlns:a16="http://schemas.microsoft.com/office/drawing/2014/main" id="{498F463A-7A88-4FDD-9CE5-AA392AD39301}"/>
            </a:ext>
          </a:extLst>
        </xdr:cNvPr>
        <xdr:cNvSpPr/>
      </xdr:nvSpPr>
      <xdr:spPr>
        <a:xfrm>
          <a:off x="3298825" y="29991050"/>
          <a:ext cx="3981450" cy="647700"/>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Indicates whether or not the whole property must fully comply. </a:t>
          </a:r>
          <a:endParaRPr lang="en-US" sz="1600" kern="1200">
            <a:solidFill>
              <a:schemeClr val="tx1"/>
            </a:solidFill>
          </a:endParaRPr>
        </a:p>
      </xdr:txBody>
    </xdr:sp>
    <xdr:clientData/>
  </xdr:twoCellAnchor>
  <xdr:twoCellAnchor>
    <xdr:from>
      <xdr:col>3</xdr:col>
      <xdr:colOff>714375</xdr:colOff>
      <xdr:row>75</xdr:row>
      <xdr:rowOff>304800</xdr:rowOff>
    </xdr:from>
    <xdr:to>
      <xdr:col>3</xdr:col>
      <xdr:colOff>1701800</xdr:colOff>
      <xdr:row>76</xdr:row>
      <xdr:rowOff>400050</xdr:rowOff>
    </xdr:to>
    <xdr:cxnSp macro="">
      <xdr:nvCxnSpPr>
        <xdr:cNvPr id="113" name="Straight Arrow Connector 112">
          <a:extLst>
            <a:ext uri="{FF2B5EF4-FFF2-40B4-BE49-F238E27FC236}">
              <a16:creationId xmlns:a16="http://schemas.microsoft.com/office/drawing/2014/main" id="{66C225B3-CF5B-4BFF-B452-13F28DDA59DC}"/>
            </a:ext>
          </a:extLst>
        </xdr:cNvPr>
        <xdr:cNvCxnSpPr>
          <a:stCxn id="112" idx="0"/>
        </xdr:cNvCxnSpPr>
      </xdr:nvCxnSpPr>
      <xdr:spPr>
        <a:xfrm flipH="1" flipV="1">
          <a:off x="4302125" y="29419550"/>
          <a:ext cx="987425" cy="571500"/>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561975</xdr:colOff>
      <xdr:row>76</xdr:row>
      <xdr:rowOff>450849</xdr:rowOff>
    </xdr:from>
    <xdr:to>
      <xdr:col>9</xdr:col>
      <xdr:colOff>1019175</xdr:colOff>
      <xdr:row>76</xdr:row>
      <xdr:rowOff>1793874</xdr:rowOff>
    </xdr:to>
    <xdr:sp macro="" textlink="">
      <xdr:nvSpPr>
        <xdr:cNvPr id="121" name="Rectangle 120">
          <a:extLst>
            <a:ext uri="{FF2B5EF4-FFF2-40B4-BE49-F238E27FC236}">
              <a16:creationId xmlns:a16="http://schemas.microsoft.com/office/drawing/2014/main" id="{61DE2079-5BAF-4518-97A2-AF8C47C7C2B9}"/>
            </a:ext>
          </a:extLst>
        </xdr:cNvPr>
        <xdr:cNvSpPr/>
      </xdr:nvSpPr>
      <xdr:spPr>
        <a:xfrm>
          <a:off x="9039225" y="30041849"/>
          <a:ext cx="5965825" cy="1343025"/>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This box will tell you whether or not you should fill out Table 3a. If whole parcel compliance is required, Table 3a should NOT be filled out. If whole parcel compliance is not required, Table 3a should only be filled out if the proposed parcel in Table 2b does not comply. An explanation for why can be found in the description of Table 3a.</a:t>
          </a:r>
          <a:endParaRPr lang="en-US" sz="1600" kern="1200">
            <a:solidFill>
              <a:schemeClr val="tx1"/>
            </a:solidFill>
          </a:endParaRPr>
        </a:p>
      </xdr:txBody>
    </xdr:sp>
    <xdr:clientData/>
  </xdr:twoCellAnchor>
  <xdr:twoCellAnchor>
    <xdr:from>
      <xdr:col>6</xdr:col>
      <xdr:colOff>523875</xdr:colOff>
      <xdr:row>75</xdr:row>
      <xdr:rowOff>365125</xdr:rowOff>
    </xdr:from>
    <xdr:to>
      <xdr:col>7</xdr:col>
      <xdr:colOff>985838</xdr:colOff>
      <xdr:row>76</xdr:row>
      <xdr:rowOff>450849</xdr:rowOff>
    </xdr:to>
    <xdr:cxnSp macro="">
      <xdr:nvCxnSpPr>
        <xdr:cNvPr id="122" name="Straight Arrow Connector 121">
          <a:extLst>
            <a:ext uri="{FF2B5EF4-FFF2-40B4-BE49-F238E27FC236}">
              <a16:creationId xmlns:a16="http://schemas.microsoft.com/office/drawing/2014/main" id="{1A35701F-A2AC-4408-9683-E368CD5354EE}"/>
            </a:ext>
          </a:extLst>
        </xdr:cNvPr>
        <xdr:cNvCxnSpPr>
          <a:stCxn id="121" idx="0"/>
        </xdr:cNvCxnSpPr>
      </xdr:nvCxnSpPr>
      <xdr:spPr>
        <a:xfrm flipH="1" flipV="1">
          <a:off x="10366375" y="29479875"/>
          <a:ext cx="1652588" cy="561974"/>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730248</xdr:colOff>
      <xdr:row>79</xdr:row>
      <xdr:rowOff>14606</xdr:rowOff>
    </xdr:from>
    <xdr:to>
      <xdr:col>11</xdr:col>
      <xdr:colOff>506729</xdr:colOff>
      <xdr:row>84</xdr:row>
      <xdr:rowOff>551180</xdr:rowOff>
    </xdr:to>
    <xdr:sp macro="" textlink="">
      <xdr:nvSpPr>
        <xdr:cNvPr id="126" name="Rectangle 125">
          <a:extLst>
            <a:ext uri="{FF2B5EF4-FFF2-40B4-BE49-F238E27FC236}">
              <a16:creationId xmlns:a16="http://schemas.microsoft.com/office/drawing/2014/main" id="{25C4A4A9-B3CA-4E22-89D8-13757952ACE2}"/>
            </a:ext>
          </a:extLst>
        </xdr:cNvPr>
        <xdr:cNvSpPr/>
      </xdr:nvSpPr>
      <xdr:spPr>
        <a:xfrm>
          <a:off x="12807948" y="32866331"/>
          <a:ext cx="5348606" cy="2346324"/>
        </a:xfrm>
        <a:prstGeom prst="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  Table 3a: The purpose of this section is to be able to compare the proposed parcel lighting (which doesn't meet code) to the lighting that is currently on the parcel to determine if the proposed plan brings the parcel closer to compliance. This table will include all the lighting that is on the current parcel, including the fixtures that are existing and going to remain. This means that fixtures labeled as "Existing to Remain" in Table 2a (above) should also be in this table. </a:t>
          </a:r>
        </a:p>
        <a:p>
          <a:pPr algn="l"/>
          <a:r>
            <a:rPr lang="en-US" sz="1600" b="1" kern="1200" baseline="0">
              <a:solidFill>
                <a:schemeClr val="tx1"/>
              </a:solidFill>
            </a:rPr>
            <a:t>*Table 3a should only be filled out if Table 2b tells you to.*</a:t>
          </a:r>
          <a:endParaRPr lang="en-US" sz="1600" b="1" kern="1200">
            <a:solidFill>
              <a:schemeClr val="tx1"/>
            </a:solidFill>
          </a:endParaRPr>
        </a:p>
      </xdr:txBody>
    </xdr:sp>
    <xdr:clientData/>
  </xdr:twoCellAnchor>
  <xdr:twoCellAnchor>
    <xdr:from>
      <xdr:col>8</xdr:col>
      <xdr:colOff>220345</xdr:colOff>
      <xdr:row>77</xdr:row>
      <xdr:rowOff>382269</xdr:rowOff>
    </xdr:from>
    <xdr:to>
      <xdr:col>8</xdr:col>
      <xdr:colOff>881380</xdr:colOff>
      <xdr:row>79</xdr:row>
      <xdr:rowOff>391794</xdr:rowOff>
    </xdr:to>
    <xdr:sp macro="" textlink="">
      <xdr:nvSpPr>
        <xdr:cNvPr id="127" name="Oval 126">
          <a:extLst>
            <a:ext uri="{FF2B5EF4-FFF2-40B4-BE49-F238E27FC236}">
              <a16:creationId xmlns:a16="http://schemas.microsoft.com/office/drawing/2014/main" id="{58F08C16-952C-4059-9F8A-7820B14E22D4}"/>
            </a:ext>
          </a:extLst>
        </xdr:cNvPr>
        <xdr:cNvSpPr/>
      </xdr:nvSpPr>
      <xdr:spPr>
        <a:xfrm>
          <a:off x="12298045" y="32586294"/>
          <a:ext cx="661035" cy="657225"/>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4000" b="1" kern="1200"/>
            <a:t>6</a:t>
          </a:r>
        </a:p>
      </xdr:txBody>
    </xdr:sp>
    <xdr:clientData/>
  </xdr:twoCellAnchor>
  <xdr:twoCellAnchor>
    <xdr:from>
      <xdr:col>2</xdr:col>
      <xdr:colOff>266701</xdr:colOff>
      <xdr:row>84</xdr:row>
      <xdr:rowOff>200025</xdr:rowOff>
    </xdr:from>
    <xdr:to>
      <xdr:col>3</xdr:col>
      <xdr:colOff>2238375</xdr:colOff>
      <xdr:row>84</xdr:row>
      <xdr:rowOff>1285875</xdr:rowOff>
    </xdr:to>
    <xdr:sp macro="" textlink="">
      <xdr:nvSpPr>
        <xdr:cNvPr id="128" name="Rectangle 127">
          <a:extLst>
            <a:ext uri="{FF2B5EF4-FFF2-40B4-BE49-F238E27FC236}">
              <a16:creationId xmlns:a16="http://schemas.microsoft.com/office/drawing/2014/main" id="{B368A340-36EF-46D5-8A75-67DBFD55A136}"/>
            </a:ext>
          </a:extLst>
        </xdr:cNvPr>
        <xdr:cNvSpPr/>
      </xdr:nvSpPr>
      <xdr:spPr>
        <a:xfrm>
          <a:off x="495301" y="33013650"/>
          <a:ext cx="4200524" cy="1085850"/>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Remaining Fixture 1 and 2 are in this table as well as Table 2a, since they are on both the existing parcel and the proposed parcel. The information should be consistent in both tables.</a:t>
          </a:r>
          <a:endParaRPr lang="en-US" sz="1600" kern="1200">
            <a:solidFill>
              <a:schemeClr val="tx1"/>
            </a:solidFill>
          </a:endParaRPr>
        </a:p>
      </xdr:txBody>
    </xdr:sp>
    <xdr:clientData/>
  </xdr:twoCellAnchor>
  <xdr:twoCellAnchor>
    <xdr:from>
      <xdr:col>2</xdr:col>
      <xdr:colOff>1314450</xdr:colOff>
      <xdr:row>84</xdr:row>
      <xdr:rowOff>1285875</xdr:rowOff>
    </xdr:from>
    <xdr:to>
      <xdr:col>3</xdr:col>
      <xdr:colOff>138113</xdr:colOff>
      <xdr:row>86</xdr:row>
      <xdr:rowOff>171450</xdr:rowOff>
    </xdr:to>
    <xdr:cxnSp macro="">
      <xdr:nvCxnSpPr>
        <xdr:cNvPr id="129" name="Straight Arrow Connector 128">
          <a:extLst>
            <a:ext uri="{FF2B5EF4-FFF2-40B4-BE49-F238E27FC236}">
              <a16:creationId xmlns:a16="http://schemas.microsoft.com/office/drawing/2014/main" id="{B08FF122-1DDB-483B-A620-DEB173498E14}"/>
            </a:ext>
          </a:extLst>
        </xdr:cNvPr>
        <xdr:cNvCxnSpPr>
          <a:stCxn id="128" idx="2"/>
          <a:endCxn id="132" idx="3"/>
        </xdr:cNvCxnSpPr>
      </xdr:nvCxnSpPr>
      <xdr:spPr>
        <a:xfrm flipH="1">
          <a:off x="1543050" y="34099500"/>
          <a:ext cx="1052513" cy="762000"/>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114300</xdr:colOff>
      <xdr:row>85</xdr:row>
      <xdr:rowOff>302895</xdr:rowOff>
    </xdr:from>
    <xdr:to>
      <xdr:col>2</xdr:col>
      <xdr:colOff>1314450</xdr:colOff>
      <xdr:row>88</xdr:row>
      <xdr:rowOff>40005</xdr:rowOff>
    </xdr:to>
    <xdr:sp macro="" textlink="">
      <xdr:nvSpPr>
        <xdr:cNvPr id="132" name="Rectangle 131">
          <a:extLst>
            <a:ext uri="{FF2B5EF4-FFF2-40B4-BE49-F238E27FC236}">
              <a16:creationId xmlns:a16="http://schemas.microsoft.com/office/drawing/2014/main" id="{2922738E-5CB3-8E90-2405-BEC98FD77FD0}"/>
            </a:ext>
          </a:extLst>
        </xdr:cNvPr>
        <xdr:cNvSpPr/>
      </xdr:nvSpPr>
      <xdr:spPr>
        <a:xfrm>
          <a:off x="114300" y="34630995"/>
          <a:ext cx="1428750" cy="461010"/>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clientData/>
  </xdr:twoCellAnchor>
  <xdr:twoCellAnchor>
    <xdr:from>
      <xdr:col>2</xdr:col>
      <xdr:colOff>800101</xdr:colOff>
      <xdr:row>94</xdr:row>
      <xdr:rowOff>133350</xdr:rowOff>
    </xdr:from>
    <xdr:to>
      <xdr:col>3</xdr:col>
      <xdr:colOff>2543175</xdr:colOff>
      <xdr:row>98</xdr:row>
      <xdr:rowOff>328084</xdr:rowOff>
    </xdr:to>
    <xdr:sp macro="" textlink="">
      <xdr:nvSpPr>
        <xdr:cNvPr id="138" name="Rectangle 137">
          <a:extLst>
            <a:ext uri="{FF2B5EF4-FFF2-40B4-BE49-F238E27FC236}">
              <a16:creationId xmlns:a16="http://schemas.microsoft.com/office/drawing/2014/main" id="{BDA5AAB0-9DE8-40AD-AFB7-0C1FD949FB8D}"/>
            </a:ext>
          </a:extLst>
        </xdr:cNvPr>
        <xdr:cNvSpPr/>
      </xdr:nvSpPr>
      <xdr:spPr>
        <a:xfrm>
          <a:off x="1032934" y="36444767"/>
          <a:ext cx="4007908" cy="914400"/>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Removing Fixture 1 and 2 are lighting fixtures that are on the current parcel but going to be removed on the proposed parcel.</a:t>
          </a:r>
          <a:endParaRPr lang="en-US" sz="1600" kern="1200">
            <a:solidFill>
              <a:schemeClr val="tx1"/>
            </a:solidFill>
          </a:endParaRPr>
        </a:p>
      </xdr:txBody>
    </xdr:sp>
    <xdr:clientData/>
  </xdr:twoCellAnchor>
  <xdr:twoCellAnchor>
    <xdr:from>
      <xdr:col>2</xdr:col>
      <xdr:colOff>1276350</xdr:colOff>
      <xdr:row>89</xdr:row>
      <xdr:rowOff>76200</xdr:rowOff>
    </xdr:from>
    <xdr:to>
      <xdr:col>3</xdr:col>
      <xdr:colOff>704850</xdr:colOff>
      <xdr:row>94</xdr:row>
      <xdr:rowOff>114300</xdr:rowOff>
    </xdr:to>
    <xdr:cxnSp macro="">
      <xdr:nvCxnSpPr>
        <xdr:cNvPr id="139" name="Straight Arrow Connector 138">
          <a:extLst>
            <a:ext uri="{FF2B5EF4-FFF2-40B4-BE49-F238E27FC236}">
              <a16:creationId xmlns:a16="http://schemas.microsoft.com/office/drawing/2014/main" id="{AB8D8AE8-0787-4372-89EA-4474DE6FFFFE}"/>
            </a:ext>
          </a:extLst>
        </xdr:cNvPr>
        <xdr:cNvCxnSpPr/>
      </xdr:nvCxnSpPr>
      <xdr:spPr>
        <a:xfrm flipH="1" flipV="1">
          <a:off x="1504950" y="35309175"/>
          <a:ext cx="1657350" cy="942975"/>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285750</xdr:colOff>
      <xdr:row>99</xdr:row>
      <xdr:rowOff>319406</xdr:rowOff>
    </xdr:from>
    <xdr:to>
      <xdr:col>11</xdr:col>
      <xdr:colOff>552451</xdr:colOff>
      <xdr:row>103</xdr:row>
      <xdr:rowOff>172720</xdr:rowOff>
    </xdr:to>
    <xdr:sp macro="" textlink="">
      <xdr:nvSpPr>
        <xdr:cNvPr id="142" name="Rectangle 141">
          <a:extLst>
            <a:ext uri="{FF2B5EF4-FFF2-40B4-BE49-F238E27FC236}">
              <a16:creationId xmlns:a16="http://schemas.microsoft.com/office/drawing/2014/main" id="{F97984D1-2F35-4671-839D-DDA583F51405}"/>
            </a:ext>
          </a:extLst>
        </xdr:cNvPr>
        <xdr:cNvSpPr/>
      </xdr:nvSpPr>
      <xdr:spPr>
        <a:xfrm>
          <a:off x="14277975" y="40448231"/>
          <a:ext cx="3924301" cy="1377314"/>
        </a:xfrm>
        <a:prstGeom prst="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  Table 3b: Compares the proposed parcel analysis to the existing parcel analysis to determine if the proposed lighting plan brings the parcel closer to whole parcel compliance.  </a:t>
          </a:r>
          <a:endParaRPr lang="en-US" sz="1600" kern="1200">
            <a:solidFill>
              <a:schemeClr val="tx1"/>
            </a:solidFill>
          </a:endParaRPr>
        </a:p>
      </xdr:txBody>
    </xdr:sp>
    <xdr:clientData/>
  </xdr:twoCellAnchor>
  <xdr:twoCellAnchor>
    <xdr:from>
      <xdr:col>8</xdr:col>
      <xdr:colOff>1687195</xdr:colOff>
      <xdr:row>99</xdr:row>
      <xdr:rowOff>73025</xdr:rowOff>
    </xdr:from>
    <xdr:to>
      <xdr:col>9</xdr:col>
      <xdr:colOff>438150</xdr:colOff>
      <xdr:row>101</xdr:row>
      <xdr:rowOff>156210</xdr:rowOff>
    </xdr:to>
    <xdr:sp macro="" textlink="">
      <xdr:nvSpPr>
        <xdr:cNvPr id="143" name="Oval 142">
          <a:extLst>
            <a:ext uri="{FF2B5EF4-FFF2-40B4-BE49-F238E27FC236}">
              <a16:creationId xmlns:a16="http://schemas.microsoft.com/office/drawing/2014/main" id="{1F5AEFB3-7E53-4643-8426-1D32D8DE574C}"/>
            </a:ext>
          </a:extLst>
        </xdr:cNvPr>
        <xdr:cNvSpPr/>
      </xdr:nvSpPr>
      <xdr:spPr>
        <a:xfrm>
          <a:off x="13764895" y="40201850"/>
          <a:ext cx="665480" cy="635635"/>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4000" b="1" kern="1200"/>
            <a:t>7</a:t>
          </a:r>
        </a:p>
      </xdr:txBody>
    </xdr:sp>
    <xdr:clientData/>
  </xdr:twoCellAnchor>
  <xdr:twoCellAnchor>
    <xdr:from>
      <xdr:col>9</xdr:col>
      <xdr:colOff>285750</xdr:colOff>
      <xdr:row>104</xdr:row>
      <xdr:rowOff>0</xdr:rowOff>
    </xdr:from>
    <xdr:to>
      <xdr:col>12</xdr:col>
      <xdr:colOff>457200</xdr:colOff>
      <xdr:row>107</xdr:row>
      <xdr:rowOff>88900</xdr:rowOff>
    </xdr:to>
    <xdr:sp macro="" textlink="">
      <xdr:nvSpPr>
        <xdr:cNvPr id="144" name="Rectangle 143">
          <a:extLst>
            <a:ext uri="{FF2B5EF4-FFF2-40B4-BE49-F238E27FC236}">
              <a16:creationId xmlns:a16="http://schemas.microsoft.com/office/drawing/2014/main" id="{A35D8079-F31B-420D-8A98-3058E5F2529A}"/>
            </a:ext>
          </a:extLst>
        </xdr:cNvPr>
        <xdr:cNvSpPr/>
      </xdr:nvSpPr>
      <xdr:spPr>
        <a:xfrm>
          <a:off x="13379450" y="43472100"/>
          <a:ext cx="5289550" cy="1358900"/>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This row indicates that the proposed parcel has a higher percentage of unshielded / partially shielded lumens than the existing parcel. However, because the proposed parcel passes in this category in Table 2b, it meets the current code and is not a problem.</a:t>
          </a:r>
          <a:endParaRPr lang="en-US" sz="1600" kern="1200">
            <a:solidFill>
              <a:schemeClr val="tx1"/>
            </a:solidFill>
          </a:endParaRPr>
        </a:p>
      </xdr:txBody>
    </xdr:sp>
    <xdr:clientData/>
  </xdr:twoCellAnchor>
  <xdr:twoCellAnchor>
    <xdr:from>
      <xdr:col>7</xdr:col>
      <xdr:colOff>889000</xdr:colOff>
      <xdr:row>105</xdr:row>
      <xdr:rowOff>558800</xdr:rowOff>
    </xdr:from>
    <xdr:to>
      <xdr:col>9</xdr:col>
      <xdr:colOff>285750</xdr:colOff>
      <xdr:row>106</xdr:row>
      <xdr:rowOff>6350</xdr:rowOff>
    </xdr:to>
    <xdr:cxnSp macro="">
      <xdr:nvCxnSpPr>
        <xdr:cNvPr id="145" name="Straight Arrow Connector 144">
          <a:extLst>
            <a:ext uri="{FF2B5EF4-FFF2-40B4-BE49-F238E27FC236}">
              <a16:creationId xmlns:a16="http://schemas.microsoft.com/office/drawing/2014/main" id="{8A564B51-78E7-4EA0-AFED-2956C0F35E6B}"/>
            </a:ext>
          </a:extLst>
        </xdr:cNvPr>
        <xdr:cNvCxnSpPr>
          <a:stCxn id="144" idx="1"/>
        </xdr:cNvCxnSpPr>
      </xdr:nvCxnSpPr>
      <xdr:spPr>
        <a:xfrm flipH="1" flipV="1">
          <a:off x="11087100" y="44030900"/>
          <a:ext cx="2292350" cy="120650"/>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1066799</xdr:colOff>
      <xdr:row>108</xdr:row>
      <xdr:rowOff>66674</xdr:rowOff>
    </xdr:from>
    <xdr:to>
      <xdr:col>11</xdr:col>
      <xdr:colOff>714374</xdr:colOff>
      <xdr:row>116</xdr:row>
      <xdr:rowOff>38100</xdr:rowOff>
    </xdr:to>
    <xdr:sp macro="" textlink="">
      <xdr:nvSpPr>
        <xdr:cNvPr id="152" name="Rectangle 151">
          <a:extLst>
            <a:ext uri="{FF2B5EF4-FFF2-40B4-BE49-F238E27FC236}">
              <a16:creationId xmlns:a16="http://schemas.microsoft.com/office/drawing/2014/main" id="{B0600902-9065-4031-A96A-F5381A877A07}"/>
            </a:ext>
          </a:extLst>
        </xdr:cNvPr>
        <xdr:cNvSpPr/>
      </xdr:nvSpPr>
      <xdr:spPr>
        <a:xfrm>
          <a:off x="12280899" y="44986574"/>
          <a:ext cx="5375275" cy="1393826"/>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The proposed parcel failed the total lumen analysis in Table 2b. However, this row indicates that the proposed parcel is an improvement over the existing parcel and moves the parcel closer to whole parcel compliance. Therefore, the proposed parcel meets the standards laid out in the code.</a:t>
          </a:r>
          <a:endParaRPr lang="en-US" sz="1600" kern="1200">
            <a:solidFill>
              <a:schemeClr val="tx1"/>
            </a:solidFill>
          </a:endParaRPr>
        </a:p>
      </xdr:txBody>
    </xdr:sp>
    <xdr:clientData/>
  </xdr:twoCellAnchor>
  <xdr:twoCellAnchor>
    <xdr:from>
      <xdr:col>7</xdr:col>
      <xdr:colOff>561975</xdr:colOff>
      <xdr:row>106</xdr:row>
      <xdr:rowOff>333375</xdr:rowOff>
    </xdr:from>
    <xdr:to>
      <xdr:col>8</xdr:col>
      <xdr:colOff>1066799</xdr:colOff>
      <xdr:row>112</xdr:row>
      <xdr:rowOff>52387</xdr:rowOff>
    </xdr:to>
    <xdr:cxnSp macro="">
      <xdr:nvCxnSpPr>
        <xdr:cNvPr id="153" name="Straight Arrow Connector 152">
          <a:extLst>
            <a:ext uri="{FF2B5EF4-FFF2-40B4-BE49-F238E27FC236}">
              <a16:creationId xmlns:a16="http://schemas.microsoft.com/office/drawing/2014/main" id="{28159281-94AD-45A3-A078-06813A7E2AD3}"/>
            </a:ext>
          </a:extLst>
        </xdr:cNvPr>
        <xdr:cNvCxnSpPr>
          <a:stCxn id="152" idx="1"/>
        </xdr:cNvCxnSpPr>
      </xdr:nvCxnSpPr>
      <xdr:spPr>
        <a:xfrm flipH="1" flipV="1">
          <a:off x="10760075" y="44478575"/>
          <a:ext cx="1520824" cy="1204912"/>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638175</xdr:colOff>
      <xdr:row>32</xdr:row>
      <xdr:rowOff>152400</xdr:rowOff>
    </xdr:from>
    <xdr:to>
      <xdr:col>16</xdr:col>
      <xdr:colOff>3400425</xdr:colOff>
      <xdr:row>35</xdr:row>
      <xdr:rowOff>276225</xdr:rowOff>
    </xdr:to>
    <xdr:sp macro="" textlink="">
      <xdr:nvSpPr>
        <xdr:cNvPr id="3" name="Rectangle 2">
          <a:extLst>
            <a:ext uri="{FF2B5EF4-FFF2-40B4-BE49-F238E27FC236}">
              <a16:creationId xmlns:a16="http://schemas.microsoft.com/office/drawing/2014/main" id="{14E2C775-4F21-4DC3-8399-D39D3A6E7423}"/>
            </a:ext>
          </a:extLst>
        </xdr:cNvPr>
        <xdr:cNvSpPr/>
      </xdr:nvSpPr>
      <xdr:spPr>
        <a:xfrm>
          <a:off x="20212050" y="9410700"/>
          <a:ext cx="5038725" cy="1381125"/>
        </a:xfrm>
        <a:prstGeom prst="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  Overall Pass/Fail: This box tells you whether your proposal passes or fails. You may submit a proposal that fails if the scope does not trigger entire property compliance (as it says in the note). Otherwise, this box will give you overall explanations as to why the parcel fails. </a:t>
          </a:r>
          <a:endParaRPr lang="en-US" sz="1600" kern="1200">
            <a:solidFill>
              <a:schemeClr val="tx1"/>
            </a:solidFill>
          </a:endParaRPr>
        </a:p>
      </xdr:txBody>
    </xdr:sp>
    <xdr:clientData/>
  </xdr:twoCellAnchor>
  <xdr:twoCellAnchor>
    <xdr:from>
      <xdr:col>14</xdr:col>
      <xdr:colOff>161925</xdr:colOff>
      <xdr:row>31</xdr:row>
      <xdr:rowOff>323850</xdr:rowOff>
    </xdr:from>
    <xdr:to>
      <xdr:col>14</xdr:col>
      <xdr:colOff>790575</xdr:colOff>
      <xdr:row>33</xdr:row>
      <xdr:rowOff>114300</xdr:rowOff>
    </xdr:to>
    <xdr:sp macro="" textlink="">
      <xdr:nvSpPr>
        <xdr:cNvPr id="4" name="Oval 3">
          <a:extLst>
            <a:ext uri="{FF2B5EF4-FFF2-40B4-BE49-F238E27FC236}">
              <a16:creationId xmlns:a16="http://schemas.microsoft.com/office/drawing/2014/main" id="{A9157D67-7579-4FDA-8F2C-91FC3E0636F4}"/>
            </a:ext>
          </a:extLst>
        </xdr:cNvPr>
        <xdr:cNvSpPr/>
      </xdr:nvSpPr>
      <xdr:spPr>
        <a:xfrm>
          <a:off x="19735800" y="9163050"/>
          <a:ext cx="628650" cy="628650"/>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4000" b="1" kern="1200"/>
            <a:t>8</a:t>
          </a:r>
        </a:p>
      </xdr:txBody>
    </xdr:sp>
    <xdr:clientData/>
  </xdr:twoCellAnchor>
  <xdr:twoCellAnchor>
    <xdr:from>
      <xdr:col>14</xdr:col>
      <xdr:colOff>762000</xdr:colOff>
      <xdr:row>36</xdr:row>
      <xdr:rowOff>0</xdr:rowOff>
    </xdr:from>
    <xdr:to>
      <xdr:col>16</xdr:col>
      <xdr:colOff>1285875</xdr:colOff>
      <xdr:row>37</xdr:row>
      <xdr:rowOff>704849</xdr:rowOff>
    </xdr:to>
    <xdr:sp macro="" textlink="">
      <xdr:nvSpPr>
        <xdr:cNvPr id="5" name="Rectangle 4">
          <a:extLst>
            <a:ext uri="{FF2B5EF4-FFF2-40B4-BE49-F238E27FC236}">
              <a16:creationId xmlns:a16="http://schemas.microsoft.com/office/drawing/2014/main" id="{CD6C890D-4E89-4DB8-B8A5-2C373FCBFAB5}"/>
            </a:ext>
          </a:extLst>
        </xdr:cNvPr>
        <xdr:cNvSpPr/>
      </xdr:nvSpPr>
      <xdr:spPr>
        <a:xfrm>
          <a:off x="20335875" y="11058525"/>
          <a:ext cx="2800350" cy="1123949"/>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a:solidFill>
                <a:schemeClr val="tx1"/>
              </a:solidFill>
            </a:rPr>
            <a:t>Error messages will appear</a:t>
          </a:r>
          <a:r>
            <a:rPr lang="en-US" sz="1600" kern="1200" baseline="0">
              <a:solidFill>
                <a:schemeClr val="tx1"/>
              </a:solidFill>
            </a:rPr>
            <a:t> here. It will correspond to an error message somewhere else on the sheet. </a:t>
          </a:r>
          <a:endParaRPr lang="en-US" sz="1600" kern="1200">
            <a:solidFill>
              <a:schemeClr val="tx1"/>
            </a:solidFill>
          </a:endParaRPr>
        </a:p>
      </xdr:txBody>
    </xdr:sp>
    <xdr:clientData/>
  </xdr:twoCellAnchor>
  <xdr:twoCellAnchor>
    <xdr:from>
      <xdr:col>13</xdr:col>
      <xdr:colOff>1085850</xdr:colOff>
      <xdr:row>35</xdr:row>
      <xdr:rowOff>447675</xdr:rowOff>
    </xdr:from>
    <xdr:to>
      <xdr:col>14</xdr:col>
      <xdr:colOff>762000</xdr:colOff>
      <xdr:row>37</xdr:row>
      <xdr:rowOff>142875</xdr:rowOff>
    </xdr:to>
    <xdr:cxnSp macro="">
      <xdr:nvCxnSpPr>
        <xdr:cNvPr id="6" name="Straight Arrow Connector 5">
          <a:extLst>
            <a:ext uri="{FF2B5EF4-FFF2-40B4-BE49-F238E27FC236}">
              <a16:creationId xmlns:a16="http://schemas.microsoft.com/office/drawing/2014/main" id="{91B1752C-F445-4AB7-9344-4CD0715D6725}"/>
            </a:ext>
          </a:extLst>
        </xdr:cNvPr>
        <xdr:cNvCxnSpPr>
          <a:stCxn id="5" idx="1"/>
        </xdr:cNvCxnSpPr>
      </xdr:nvCxnSpPr>
      <xdr:spPr>
        <a:xfrm flipH="1" flipV="1">
          <a:off x="19202400" y="10963275"/>
          <a:ext cx="1133475" cy="657225"/>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1295400</xdr:colOff>
      <xdr:row>19</xdr:row>
      <xdr:rowOff>257175</xdr:rowOff>
    </xdr:from>
    <xdr:to>
      <xdr:col>9</xdr:col>
      <xdr:colOff>2219325</xdr:colOff>
      <xdr:row>19</xdr:row>
      <xdr:rowOff>609600</xdr:rowOff>
    </xdr:to>
    <xdr:sp macro="" textlink="">
      <xdr:nvSpPr>
        <xdr:cNvPr id="12" name="Rectangle 11">
          <a:extLst>
            <a:ext uri="{FF2B5EF4-FFF2-40B4-BE49-F238E27FC236}">
              <a16:creationId xmlns:a16="http://schemas.microsoft.com/office/drawing/2014/main" id="{7A30DC24-1A19-4680-8627-E602B7247B2B}"/>
            </a:ext>
          </a:extLst>
        </xdr:cNvPr>
        <xdr:cNvSpPr/>
      </xdr:nvSpPr>
      <xdr:spPr>
        <a:xfrm>
          <a:off x="12077700" y="4476750"/>
          <a:ext cx="2800350" cy="352425"/>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a:solidFill>
                <a:schemeClr val="tx1"/>
              </a:solidFill>
            </a:rPr>
            <a:t>Important note!</a:t>
          </a:r>
        </a:p>
      </xdr:txBody>
    </xdr:sp>
    <xdr:clientData/>
  </xdr:twoCellAnchor>
  <xdr:twoCellAnchor>
    <xdr:from>
      <xdr:col>6</xdr:col>
      <xdr:colOff>1095375</xdr:colOff>
      <xdr:row>19</xdr:row>
      <xdr:rowOff>433388</xdr:rowOff>
    </xdr:from>
    <xdr:to>
      <xdr:col>8</xdr:col>
      <xdr:colOff>1295400</xdr:colOff>
      <xdr:row>22</xdr:row>
      <xdr:rowOff>257175</xdr:rowOff>
    </xdr:to>
    <xdr:cxnSp macro="">
      <xdr:nvCxnSpPr>
        <xdr:cNvPr id="13" name="Straight Arrow Connector 12">
          <a:extLst>
            <a:ext uri="{FF2B5EF4-FFF2-40B4-BE49-F238E27FC236}">
              <a16:creationId xmlns:a16="http://schemas.microsoft.com/office/drawing/2014/main" id="{63F337D0-596A-4438-AB66-43FBD3E11AAD}"/>
            </a:ext>
          </a:extLst>
        </xdr:cNvPr>
        <xdr:cNvCxnSpPr>
          <a:stCxn id="12" idx="1"/>
        </xdr:cNvCxnSpPr>
      </xdr:nvCxnSpPr>
      <xdr:spPr>
        <a:xfrm flipH="1">
          <a:off x="9696450" y="4652963"/>
          <a:ext cx="2381250" cy="947737"/>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146049</xdr:colOff>
      <xdr:row>87</xdr:row>
      <xdr:rowOff>161078</xdr:rowOff>
    </xdr:from>
    <xdr:to>
      <xdr:col>2</xdr:col>
      <xdr:colOff>1346199</xdr:colOff>
      <xdr:row>90</xdr:row>
      <xdr:rowOff>88688</xdr:rowOff>
    </xdr:to>
    <xdr:sp macro="" textlink="">
      <xdr:nvSpPr>
        <xdr:cNvPr id="7" name="Rectangle 6">
          <a:extLst>
            <a:ext uri="{FF2B5EF4-FFF2-40B4-BE49-F238E27FC236}">
              <a16:creationId xmlns:a16="http://schemas.microsoft.com/office/drawing/2014/main" id="{3137A1A0-E0D2-4AAB-8BEA-11E80670AD5F}"/>
            </a:ext>
          </a:extLst>
        </xdr:cNvPr>
        <xdr:cNvSpPr/>
      </xdr:nvSpPr>
      <xdr:spPr>
        <a:xfrm>
          <a:off x="146049" y="35742245"/>
          <a:ext cx="1432983" cy="467360"/>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clientData/>
  </xdr:twoCellAnchor>
  <xdr:twoCellAnchor>
    <xdr:from>
      <xdr:col>11</xdr:col>
      <xdr:colOff>571500</xdr:colOff>
      <xdr:row>62</xdr:row>
      <xdr:rowOff>110066</xdr:rowOff>
    </xdr:from>
    <xdr:to>
      <xdr:col>13</xdr:col>
      <xdr:colOff>299509</xdr:colOff>
      <xdr:row>62</xdr:row>
      <xdr:rowOff>1028700</xdr:rowOff>
    </xdr:to>
    <xdr:sp macro="" textlink="">
      <xdr:nvSpPr>
        <xdr:cNvPr id="18" name="Rectangle 17">
          <a:extLst>
            <a:ext uri="{FF2B5EF4-FFF2-40B4-BE49-F238E27FC236}">
              <a16:creationId xmlns:a16="http://schemas.microsoft.com/office/drawing/2014/main" id="{62F538EC-96C0-462A-8E96-ADC2C7F65D67}"/>
            </a:ext>
          </a:extLst>
        </xdr:cNvPr>
        <xdr:cNvSpPr/>
      </xdr:nvSpPr>
      <xdr:spPr>
        <a:xfrm>
          <a:off x="17513300" y="24328966"/>
          <a:ext cx="2661709" cy="918634"/>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a:solidFill>
                <a:schemeClr val="tx1"/>
              </a:solidFill>
            </a:rPr>
            <a:t>Applicants must fill out all columns for the spreadsheet</a:t>
          </a:r>
          <a:r>
            <a:rPr lang="en-US" sz="1600" kern="1200" baseline="0">
              <a:solidFill>
                <a:schemeClr val="tx1"/>
              </a:solidFill>
            </a:rPr>
            <a:t> to evaluate PASS/FAIL.</a:t>
          </a:r>
          <a:endParaRPr lang="en-US" sz="1600" kern="1200">
            <a:solidFill>
              <a:schemeClr val="tx1"/>
            </a:solidFill>
          </a:endParaRPr>
        </a:p>
      </xdr:txBody>
    </xdr:sp>
    <xdr:clientData/>
  </xdr:twoCellAnchor>
  <xdr:twoCellAnchor>
    <xdr:from>
      <xdr:col>12</xdr:col>
      <xdr:colOff>457200</xdr:colOff>
      <xdr:row>53</xdr:row>
      <xdr:rowOff>114300</xdr:rowOff>
    </xdr:from>
    <xdr:to>
      <xdr:col>12</xdr:col>
      <xdr:colOff>632355</xdr:colOff>
      <xdr:row>62</xdr:row>
      <xdr:rowOff>110066</xdr:rowOff>
    </xdr:to>
    <xdr:cxnSp macro="">
      <xdr:nvCxnSpPr>
        <xdr:cNvPr id="19" name="Straight Arrow Connector 18">
          <a:extLst>
            <a:ext uri="{FF2B5EF4-FFF2-40B4-BE49-F238E27FC236}">
              <a16:creationId xmlns:a16="http://schemas.microsoft.com/office/drawing/2014/main" id="{E313952F-15A2-4C03-8FE3-27B469DF2E51}"/>
            </a:ext>
          </a:extLst>
        </xdr:cNvPr>
        <xdr:cNvCxnSpPr>
          <a:stCxn id="18" idx="0"/>
        </xdr:cNvCxnSpPr>
      </xdr:nvCxnSpPr>
      <xdr:spPr>
        <a:xfrm flipH="1" flipV="1">
          <a:off x="18669000" y="22733000"/>
          <a:ext cx="175155" cy="1595966"/>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121361</xdr:colOff>
      <xdr:row>1</xdr:row>
      <xdr:rowOff>164278</xdr:rowOff>
    </xdr:from>
    <xdr:to>
      <xdr:col>6</xdr:col>
      <xdr:colOff>931360</xdr:colOff>
      <xdr:row>4</xdr:row>
      <xdr:rowOff>228665</xdr:rowOff>
    </xdr:to>
    <xdr:pic>
      <xdr:nvPicPr>
        <xdr:cNvPr id="7" name="Picture 6">
          <a:extLst>
            <a:ext uri="{FF2B5EF4-FFF2-40B4-BE49-F238E27FC236}">
              <a16:creationId xmlns:a16="http://schemas.microsoft.com/office/drawing/2014/main" id="{7D0AB09D-F2FC-03DB-6584-C070CFBFF75D}"/>
            </a:ext>
          </a:extLst>
        </xdr:cNvPr>
        <xdr:cNvPicPr>
          <a:picLocks noChangeAspect="1"/>
        </xdr:cNvPicPr>
      </xdr:nvPicPr>
      <xdr:blipFill>
        <a:blip xmlns:r="http://schemas.openxmlformats.org/officeDocument/2006/relationships" r:embed="rId1"/>
        <a:stretch>
          <a:fillRect/>
        </a:stretch>
      </xdr:blipFill>
      <xdr:spPr>
        <a:xfrm>
          <a:off x="5545008" y="522866"/>
          <a:ext cx="2123627" cy="82638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1309310</xdr:colOff>
      <xdr:row>1</xdr:row>
      <xdr:rowOff>129243</xdr:rowOff>
    </xdr:from>
    <xdr:to>
      <xdr:col>6</xdr:col>
      <xdr:colOff>297482</xdr:colOff>
      <xdr:row>4</xdr:row>
      <xdr:rowOff>380291</xdr:rowOff>
    </xdr:to>
    <xdr:pic>
      <xdr:nvPicPr>
        <xdr:cNvPr id="2" name="Picture 1">
          <a:extLst>
            <a:ext uri="{FF2B5EF4-FFF2-40B4-BE49-F238E27FC236}">
              <a16:creationId xmlns:a16="http://schemas.microsoft.com/office/drawing/2014/main" id="{CC9F5723-05E2-4FE8-B99B-4A189F65F3FE}"/>
            </a:ext>
          </a:extLst>
        </xdr:cNvPr>
        <xdr:cNvPicPr>
          <a:picLocks noChangeAspect="1"/>
        </xdr:cNvPicPr>
      </xdr:nvPicPr>
      <xdr:blipFill>
        <a:blip xmlns:r="http://schemas.openxmlformats.org/officeDocument/2006/relationships" r:embed="rId1"/>
        <a:stretch>
          <a:fillRect/>
        </a:stretch>
      </xdr:blipFill>
      <xdr:spPr>
        <a:xfrm>
          <a:off x="6402010" y="675343"/>
          <a:ext cx="2074272" cy="822548"/>
        </a:xfrm>
        <a:prstGeom prst="rect">
          <a:avLst/>
        </a:prstGeom>
      </xdr:spPr>
    </xdr:pic>
    <xdr:clientData/>
  </xdr:twoCellAnchor>
  <xdr:twoCellAnchor>
    <xdr:from>
      <xdr:col>2</xdr:col>
      <xdr:colOff>2034721</xdr:colOff>
      <xdr:row>5</xdr:row>
      <xdr:rowOff>292705</xdr:rowOff>
    </xdr:from>
    <xdr:to>
      <xdr:col>5</xdr:col>
      <xdr:colOff>693662</xdr:colOff>
      <xdr:row>5</xdr:row>
      <xdr:rowOff>1193800</xdr:rowOff>
    </xdr:to>
    <xdr:sp macro="" textlink="">
      <xdr:nvSpPr>
        <xdr:cNvPr id="3" name="Rectangle 2">
          <a:extLst>
            <a:ext uri="{FF2B5EF4-FFF2-40B4-BE49-F238E27FC236}">
              <a16:creationId xmlns:a16="http://schemas.microsoft.com/office/drawing/2014/main" id="{7B200669-5A63-4FBD-AB69-45383125249C}"/>
            </a:ext>
          </a:extLst>
        </xdr:cNvPr>
        <xdr:cNvSpPr/>
      </xdr:nvSpPr>
      <xdr:spPr>
        <a:xfrm>
          <a:off x="3012621" y="1956405"/>
          <a:ext cx="4462841" cy="901095"/>
        </a:xfrm>
        <a:prstGeom prst="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a:solidFill>
                <a:schemeClr val="tx1"/>
              </a:solidFill>
            </a:rPr>
            <a:t>  Fill</a:t>
          </a:r>
          <a:r>
            <a:rPr lang="en-US" sz="1600" kern="1200" baseline="0">
              <a:solidFill>
                <a:schemeClr val="tx1"/>
              </a:solidFill>
            </a:rPr>
            <a:t> out the yellow boxes with the relevant information. Greyed out boxes are to be filled out by staff. </a:t>
          </a:r>
          <a:endParaRPr lang="en-US" sz="1600" kern="1200">
            <a:solidFill>
              <a:schemeClr val="tx1"/>
            </a:solidFill>
          </a:endParaRPr>
        </a:p>
      </xdr:txBody>
    </xdr:sp>
    <xdr:clientData/>
  </xdr:twoCellAnchor>
  <xdr:twoCellAnchor>
    <xdr:from>
      <xdr:col>2</xdr:col>
      <xdr:colOff>1558471</xdr:colOff>
      <xdr:row>5</xdr:row>
      <xdr:rowOff>85272</xdr:rowOff>
    </xdr:from>
    <xdr:to>
      <xdr:col>3</xdr:col>
      <xdr:colOff>129721</xdr:colOff>
      <xdr:row>5</xdr:row>
      <xdr:rowOff>685347</xdr:rowOff>
    </xdr:to>
    <xdr:sp macro="" textlink="">
      <xdr:nvSpPr>
        <xdr:cNvPr id="4" name="Oval 3">
          <a:extLst>
            <a:ext uri="{FF2B5EF4-FFF2-40B4-BE49-F238E27FC236}">
              <a16:creationId xmlns:a16="http://schemas.microsoft.com/office/drawing/2014/main" id="{0DD3989F-6F47-43F5-A188-C4BADCD54375}"/>
            </a:ext>
          </a:extLst>
        </xdr:cNvPr>
        <xdr:cNvSpPr/>
      </xdr:nvSpPr>
      <xdr:spPr>
        <a:xfrm>
          <a:off x="2536371" y="1748972"/>
          <a:ext cx="628650" cy="600075"/>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4000" b="1" kern="1200"/>
            <a:t>1</a:t>
          </a:r>
        </a:p>
      </xdr:txBody>
    </xdr:sp>
    <xdr:clientData/>
  </xdr:twoCellAnchor>
  <xdr:twoCellAnchor>
    <xdr:from>
      <xdr:col>5</xdr:col>
      <xdr:colOff>960664</xdr:colOff>
      <xdr:row>13</xdr:row>
      <xdr:rowOff>98122</xdr:rowOff>
    </xdr:from>
    <xdr:to>
      <xdr:col>6</xdr:col>
      <xdr:colOff>3491290</xdr:colOff>
      <xdr:row>17</xdr:row>
      <xdr:rowOff>179464</xdr:rowOff>
    </xdr:to>
    <xdr:sp macro="" textlink="">
      <xdr:nvSpPr>
        <xdr:cNvPr id="5" name="Rectangle 4">
          <a:extLst>
            <a:ext uri="{FF2B5EF4-FFF2-40B4-BE49-F238E27FC236}">
              <a16:creationId xmlns:a16="http://schemas.microsoft.com/office/drawing/2014/main" id="{B25D2FF2-4FD6-4E7C-AADD-A78641EF1E83}"/>
            </a:ext>
          </a:extLst>
        </xdr:cNvPr>
        <xdr:cNvSpPr/>
      </xdr:nvSpPr>
      <xdr:spPr>
        <a:xfrm>
          <a:off x="7742464" y="4670122"/>
          <a:ext cx="3940326" cy="919542"/>
        </a:xfrm>
        <a:prstGeom prst="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  Read the general directions. It lays out the process for filling out the sheet and will clear up confusion.</a:t>
          </a:r>
          <a:endParaRPr lang="en-US" sz="1600" kern="1200">
            <a:solidFill>
              <a:schemeClr val="tx1"/>
            </a:solidFill>
          </a:endParaRPr>
        </a:p>
      </xdr:txBody>
    </xdr:sp>
    <xdr:clientData/>
  </xdr:twoCellAnchor>
  <xdr:twoCellAnchor>
    <xdr:from>
      <xdr:col>5</xdr:col>
      <xdr:colOff>484414</xdr:colOff>
      <xdr:row>12</xdr:row>
      <xdr:rowOff>328386</xdr:rowOff>
    </xdr:from>
    <xdr:to>
      <xdr:col>5</xdr:col>
      <xdr:colOff>1113064</xdr:colOff>
      <xdr:row>15</xdr:row>
      <xdr:rowOff>105682</xdr:rowOff>
    </xdr:to>
    <xdr:sp macro="" textlink="">
      <xdr:nvSpPr>
        <xdr:cNvPr id="6" name="Oval 5">
          <a:extLst>
            <a:ext uri="{FF2B5EF4-FFF2-40B4-BE49-F238E27FC236}">
              <a16:creationId xmlns:a16="http://schemas.microsoft.com/office/drawing/2014/main" id="{77D9882F-7638-4221-9D1A-A929E5F8C53D}"/>
            </a:ext>
          </a:extLst>
        </xdr:cNvPr>
        <xdr:cNvSpPr/>
      </xdr:nvSpPr>
      <xdr:spPr>
        <a:xfrm>
          <a:off x="7266214" y="4405086"/>
          <a:ext cx="628650" cy="678996"/>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4000" b="1" kern="1200"/>
            <a:t>2</a:t>
          </a:r>
        </a:p>
      </xdr:txBody>
    </xdr:sp>
    <xdr:clientData/>
  </xdr:twoCellAnchor>
  <xdr:twoCellAnchor>
    <xdr:from>
      <xdr:col>5</xdr:col>
      <xdr:colOff>1009650</xdr:colOff>
      <xdr:row>25</xdr:row>
      <xdr:rowOff>401866</xdr:rowOff>
    </xdr:from>
    <xdr:to>
      <xdr:col>7</xdr:col>
      <xdr:colOff>313569</xdr:colOff>
      <xdr:row>26</xdr:row>
      <xdr:rowOff>308582</xdr:rowOff>
    </xdr:to>
    <xdr:sp macro="" textlink="">
      <xdr:nvSpPr>
        <xdr:cNvPr id="7" name="Rectangle 6">
          <a:extLst>
            <a:ext uri="{FF2B5EF4-FFF2-40B4-BE49-F238E27FC236}">
              <a16:creationId xmlns:a16="http://schemas.microsoft.com/office/drawing/2014/main" id="{5F9E6999-60C9-490D-958D-28F901CEEB0C}"/>
            </a:ext>
          </a:extLst>
        </xdr:cNvPr>
        <xdr:cNvSpPr/>
      </xdr:nvSpPr>
      <xdr:spPr>
        <a:xfrm>
          <a:off x="7153275" y="6767741"/>
          <a:ext cx="5050669" cy="335341"/>
        </a:xfrm>
        <a:prstGeom prst="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  Table 1: Fill out all the boxes in yellow about your parcel.</a:t>
          </a:r>
          <a:endParaRPr lang="en-US" sz="1600" kern="1200">
            <a:solidFill>
              <a:schemeClr val="tx1"/>
            </a:solidFill>
          </a:endParaRPr>
        </a:p>
      </xdr:txBody>
    </xdr:sp>
    <xdr:clientData/>
  </xdr:twoCellAnchor>
  <xdr:twoCellAnchor>
    <xdr:from>
      <xdr:col>5</xdr:col>
      <xdr:colOff>533400</xdr:colOff>
      <xdr:row>25</xdr:row>
      <xdr:rowOff>161020</xdr:rowOff>
    </xdr:from>
    <xdr:to>
      <xdr:col>5</xdr:col>
      <xdr:colOff>1162050</xdr:colOff>
      <xdr:row>26</xdr:row>
      <xdr:rowOff>337157</xdr:rowOff>
    </xdr:to>
    <xdr:sp macro="" textlink="">
      <xdr:nvSpPr>
        <xdr:cNvPr id="8" name="Oval 7">
          <a:extLst>
            <a:ext uri="{FF2B5EF4-FFF2-40B4-BE49-F238E27FC236}">
              <a16:creationId xmlns:a16="http://schemas.microsoft.com/office/drawing/2014/main" id="{5E2451A0-6B28-4084-9D19-272BF034EFBF}"/>
            </a:ext>
          </a:extLst>
        </xdr:cNvPr>
        <xdr:cNvSpPr/>
      </xdr:nvSpPr>
      <xdr:spPr>
        <a:xfrm>
          <a:off x="6677025" y="6526895"/>
          <a:ext cx="628650" cy="604762"/>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4000" b="1" kern="1200"/>
            <a:t>3</a:t>
          </a:r>
        </a:p>
      </xdr:txBody>
    </xdr:sp>
    <xdr:clientData/>
  </xdr:twoCellAnchor>
  <xdr:twoCellAnchor>
    <xdr:from>
      <xdr:col>5</xdr:col>
      <xdr:colOff>1009649</xdr:colOff>
      <xdr:row>26</xdr:row>
      <xdr:rowOff>403833</xdr:rowOff>
    </xdr:from>
    <xdr:to>
      <xdr:col>7</xdr:col>
      <xdr:colOff>313568</xdr:colOff>
      <xdr:row>27</xdr:row>
      <xdr:rowOff>444500</xdr:rowOff>
    </xdr:to>
    <xdr:sp macro="" textlink="">
      <xdr:nvSpPr>
        <xdr:cNvPr id="9" name="Rectangle 8">
          <a:hlinkClick xmlns:r="http://schemas.openxmlformats.org/officeDocument/2006/relationships" r:id="rId2"/>
          <a:extLst>
            <a:ext uri="{FF2B5EF4-FFF2-40B4-BE49-F238E27FC236}">
              <a16:creationId xmlns:a16="http://schemas.microsoft.com/office/drawing/2014/main" id="{AF9D016A-8633-4CE9-88D0-AD000790A2D3}"/>
            </a:ext>
          </a:extLst>
        </xdr:cNvPr>
        <xdr:cNvSpPr/>
      </xdr:nvSpPr>
      <xdr:spPr>
        <a:xfrm>
          <a:off x="7791449" y="8747733"/>
          <a:ext cx="5057019" cy="624867"/>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Don't know what zone district your property is in? Go to:</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sng" strike="noStrike" kern="1200" cap="none" spc="0" normalizeH="0" baseline="0" noProof="0">
              <a:ln>
                <a:noFill/>
              </a:ln>
              <a:solidFill>
                <a:srgbClr val="4472C4">
                  <a:lumMod val="75000"/>
                </a:srgbClr>
              </a:solidFill>
              <a:effectLst/>
              <a:uLnTx/>
              <a:uFillTx/>
              <a:latin typeface="+mn-lt"/>
              <a:ea typeface="+mn-ea"/>
              <a:cs typeface="+mn-cs"/>
            </a:rPr>
            <a:t>Aspen Zoning Map Link</a:t>
          </a:r>
        </a:p>
        <a:p>
          <a:pPr algn="l"/>
          <a:endParaRPr lang="en-US" sz="1600" kern="1200">
            <a:solidFill>
              <a:schemeClr val="tx1"/>
            </a:solidFill>
          </a:endParaRPr>
        </a:p>
      </xdr:txBody>
    </xdr:sp>
    <xdr:clientData/>
  </xdr:twoCellAnchor>
  <xdr:twoCellAnchor>
    <xdr:from>
      <xdr:col>5</xdr:col>
      <xdr:colOff>1019174</xdr:colOff>
      <xdr:row>28</xdr:row>
      <xdr:rowOff>32357</xdr:rowOff>
    </xdr:from>
    <xdr:to>
      <xdr:col>7</xdr:col>
      <xdr:colOff>323093</xdr:colOff>
      <xdr:row>29</xdr:row>
      <xdr:rowOff>52466</xdr:rowOff>
    </xdr:to>
    <xdr:sp macro="" textlink="">
      <xdr:nvSpPr>
        <xdr:cNvPr id="10" name="Rectangle 9">
          <a:extLst>
            <a:ext uri="{FF2B5EF4-FFF2-40B4-BE49-F238E27FC236}">
              <a16:creationId xmlns:a16="http://schemas.microsoft.com/office/drawing/2014/main" id="{46FB06A1-F39F-47C5-AA73-7F950A8CAC01}"/>
            </a:ext>
          </a:extLst>
        </xdr:cNvPr>
        <xdr:cNvSpPr/>
      </xdr:nvSpPr>
      <xdr:spPr>
        <a:xfrm>
          <a:off x="7800974" y="9544657"/>
          <a:ext cx="5057019" cy="604309"/>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If you have a Residential use, please make sure to fill out the Res calculator instead.</a:t>
          </a:r>
          <a:endParaRPr lang="en-US" sz="1600" kern="1200">
            <a:solidFill>
              <a:schemeClr val="tx1"/>
            </a:solidFill>
          </a:endParaRPr>
        </a:p>
      </xdr:txBody>
    </xdr:sp>
    <xdr:clientData/>
  </xdr:twoCellAnchor>
  <xdr:twoCellAnchor>
    <xdr:from>
      <xdr:col>5</xdr:col>
      <xdr:colOff>1019174</xdr:colOff>
      <xdr:row>29</xdr:row>
      <xdr:rowOff>252945</xdr:rowOff>
    </xdr:from>
    <xdr:to>
      <xdr:col>7</xdr:col>
      <xdr:colOff>342143</xdr:colOff>
      <xdr:row>30</xdr:row>
      <xdr:rowOff>850901</xdr:rowOff>
    </xdr:to>
    <xdr:sp macro="" textlink="">
      <xdr:nvSpPr>
        <xdr:cNvPr id="11" name="Rectangle 10">
          <a:extLst>
            <a:ext uri="{FF2B5EF4-FFF2-40B4-BE49-F238E27FC236}">
              <a16:creationId xmlns:a16="http://schemas.microsoft.com/office/drawing/2014/main" id="{19FE6561-2828-45CF-BC17-FFD53F22F512}"/>
            </a:ext>
          </a:extLst>
        </xdr:cNvPr>
        <xdr:cNvSpPr/>
      </xdr:nvSpPr>
      <xdr:spPr>
        <a:xfrm>
          <a:off x="7800974" y="10349445"/>
          <a:ext cx="5076069" cy="1182156"/>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Your architect will know what the scope of your project is. If you don't know the scope, wait until you fill out Table 2a to see what percent of the total site lumen allowance you are replacing / adding. </a:t>
          </a:r>
          <a:endParaRPr lang="en-US" sz="1600" kern="1200">
            <a:solidFill>
              <a:schemeClr val="tx1"/>
            </a:solidFill>
          </a:endParaRPr>
        </a:p>
      </xdr:txBody>
    </xdr:sp>
    <xdr:clientData/>
  </xdr:twoCellAnchor>
  <xdr:twoCellAnchor>
    <xdr:from>
      <xdr:col>3</xdr:col>
      <xdr:colOff>1179286</xdr:colOff>
      <xdr:row>26</xdr:row>
      <xdr:rowOff>289532</xdr:rowOff>
    </xdr:from>
    <xdr:to>
      <xdr:col>5</xdr:col>
      <xdr:colOff>1009649</xdr:colOff>
      <xdr:row>27</xdr:row>
      <xdr:rowOff>132067</xdr:rowOff>
    </xdr:to>
    <xdr:cxnSp macro="">
      <xdr:nvCxnSpPr>
        <xdr:cNvPr id="14" name="Straight Arrow Connector 13">
          <a:extLst>
            <a:ext uri="{FF2B5EF4-FFF2-40B4-BE49-F238E27FC236}">
              <a16:creationId xmlns:a16="http://schemas.microsoft.com/office/drawing/2014/main" id="{30A1B1A1-07B5-4786-B8F4-FA67A9E071CD}"/>
            </a:ext>
          </a:extLst>
        </xdr:cNvPr>
        <xdr:cNvCxnSpPr>
          <a:stCxn id="9" idx="1"/>
        </xdr:cNvCxnSpPr>
      </xdr:nvCxnSpPr>
      <xdr:spPr>
        <a:xfrm flipH="1" flipV="1">
          <a:off x="4214586" y="8633432"/>
          <a:ext cx="3576863" cy="426735"/>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1270000</xdr:colOff>
      <xdr:row>27</xdr:row>
      <xdr:rowOff>304800</xdr:rowOff>
    </xdr:from>
    <xdr:to>
      <xdr:col>5</xdr:col>
      <xdr:colOff>1019174</xdr:colOff>
      <xdr:row>28</xdr:row>
      <xdr:rowOff>334512</xdr:rowOff>
    </xdr:to>
    <xdr:cxnSp macro="">
      <xdr:nvCxnSpPr>
        <xdr:cNvPr id="15" name="Straight Arrow Connector 14">
          <a:extLst>
            <a:ext uri="{FF2B5EF4-FFF2-40B4-BE49-F238E27FC236}">
              <a16:creationId xmlns:a16="http://schemas.microsoft.com/office/drawing/2014/main" id="{E12CFE8A-3635-4EC8-9786-847E527D25DC}"/>
            </a:ext>
          </a:extLst>
        </xdr:cNvPr>
        <xdr:cNvCxnSpPr>
          <a:stCxn id="10" idx="1"/>
        </xdr:cNvCxnSpPr>
      </xdr:nvCxnSpPr>
      <xdr:spPr>
        <a:xfrm flipH="1" flipV="1">
          <a:off x="4305300" y="9232900"/>
          <a:ext cx="3495674" cy="613912"/>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2019300</xdr:colOff>
      <xdr:row>30</xdr:row>
      <xdr:rowOff>259823</xdr:rowOff>
    </xdr:from>
    <xdr:to>
      <xdr:col>5</xdr:col>
      <xdr:colOff>1019174</xdr:colOff>
      <xdr:row>30</xdr:row>
      <xdr:rowOff>419100</xdr:rowOff>
    </xdr:to>
    <xdr:cxnSp macro="">
      <xdr:nvCxnSpPr>
        <xdr:cNvPr id="16" name="Straight Arrow Connector 15">
          <a:extLst>
            <a:ext uri="{FF2B5EF4-FFF2-40B4-BE49-F238E27FC236}">
              <a16:creationId xmlns:a16="http://schemas.microsoft.com/office/drawing/2014/main" id="{91E94F20-1A24-4CFE-8733-3E94B56927C8}"/>
            </a:ext>
          </a:extLst>
        </xdr:cNvPr>
        <xdr:cNvCxnSpPr>
          <a:stCxn id="11" idx="1"/>
        </xdr:cNvCxnSpPr>
      </xdr:nvCxnSpPr>
      <xdr:spPr>
        <a:xfrm flipH="1">
          <a:off x="5054600" y="10940523"/>
          <a:ext cx="2746374" cy="159277"/>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1033992</xdr:colOff>
      <xdr:row>46</xdr:row>
      <xdr:rowOff>133349</xdr:rowOff>
    </xdr:from>
    <xdr:to>
      <xdr:col>9</xdr:col>
      <xdr:colOff>2581275</xdr:colOff>
      <xdr:row>48</xdr:row>
      <xdr:rowOff>21167</xdr:rowOff>
    </xdr:to>
    <xdr:sp macro="" textlink="">
      <xdr:nvSpPr>
        <xdr:cNvPr id="21" name="Rectangle 20">
          <a:extLst>
            <a:ext uri="{FF2B5EF4-FFF2-40B4-BE49-F238E27FC236}">
              <a16:creationId xmlns:a16="http://schemas.microsoft.com/office/drawing/2014/main" id="{20FC3CD9-6C6D-4F7B-8452-5BE59937A483}"/>
            </a:ext>
          </a:extLst>
        </xdr:cNvPr>
        <xdr:cNvSpPr/>
      </xdr:nvSpPr>
      <xdr:spPr>
        <a:xfrm>
          <a:off x="12929659" y="17204266"/>
          <a:ext cx="5018616" cy="1644651"/>
        </a:xfrm>
        <a:prstGeom prst="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  Table 1b: Choose 4 of the 6 listed extra allowance types to be used on the parcel. These choices will grant additional allowance to be used on the parcel. The additional lumens cannot be transferred to another listed use type. Remaining lumen allowance may still be used for other allowed types of lighting. </a:t>
          </a:r>
          <a:endParaRPr lang="en-US" sz="1600" kern="1200">
            <a:solidFill>
              <a:schemeClr val="tx1"/>
            </a:solidFill>
          </a:endParaRPr>
        </a:p>
      </xdr:txBody>
    </xdr:sp>
    <xdr:clientData/>
  </xdr:twoCellAnchor>
  <xdr:twoCellAnchor>
    <xdr:from>
      <xdr:col>7</xdr:col>
      <xdr:colOff>539750</xdr:colOff>
      <xdr:row>45</xdr:row>
      <xdr:rowOff>285750</xdr:rowOff>
    </xdr:from>
    <xdr:to>
      <xdr:col>7</xdr:col>
      <xdr:colOff>1186392</xdr:colOff>
      <xdr:row>46</xdr:row>
      <xdr:rowOff>512232</xdr:rowOff>
    </xdr:to>
    <xdr:sp macro="" textlink="">
      <xdr:nvSpPr>
        <xdr:cNvPr id="22" name="Oval 21">
          <a:extLst>
            <a:ext uri="{FF2B5EF4-FFF2-40B4-BE49-F238E27FC236}">
              <a16:creationId xmlns:a16="http://schemas.microsoft.com/office/drawing/2014/main" id="{742C6E0E-3C84-492F-8775-4D9AEEABFBCF}"/>
            </a:ext>
          </a:extLst>
        </xdr:cNvPr>
        <xdr:cNvSpPr/>
      </xdr:nvSpPr>
      <xdr:spPr>
        <a:xfrm>
          <a:off x="12435417" y="16965083"/>
          <a:ext cx="646642" cy="618066"/>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4000" b="1" kern="1200"/>
            <a:t>4</a:t>
          </a:r>
        </a:p>
      </xdr:txBody>
    </xdr:sp>
    <xdr:clientData/>
  </xdr:twoCellAnchor>
  <xdr:twoCellAnchor>
    <xdr:from>
      <xdr:col>2</xdr:col>
      <xdr:colOff>179917</xdr:colOff>
      <xdr:row>57</xdr:row>
      <xdr:rowOff>402166</xdr:rowOff>
    </xdr:from>
    <xdr:to>
      <xdr:col>3</xdr:col>
      <xdr:colOff>1515534</xdr:colOff>
      <xdr:row>57</xdr:row>
      <xdr:rowOff>1240366</xdr:rowOff>
    </xdr:to>
    <xdr:sp macro="" textlink="">
      <xdr:nvSpPr>
        <xdr:cNvPr id="23" name="Rectangle 22">
          <a:extLst>
            <a:ext uri="{FF2B5EF4-FFF2-40B4-BE49-F238E27FC236}">
              <a16:creationId xmlns:a16="http://schemas.microsoft.com/office/drawing/2014/main" id="{F8F179B7-4C56-49B9-9313-77E1E9C88540}"/>
            </a:ext>
          </a:extLst>
        </xdr:cNvPr>
        <xdr:cNvSpPr/>
      </xdr:nvSpPr>
      <xdr:spPr>
        <a:xfrm>
          <a:off x="529167" y="22214416"/>
          <a:ext cx="3388784" cy="838200"/>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Check the definitions glossary (or COA Land Use Code) for an explanation of some of the fixture types. </a:t>
          </a:r>
          <a:endParaRPr lang="en-US" sz="1600" kern="1200">
            <a:solidFill>
              <a:schemeClr val="tx1"/>
            </a:solidFill>
          </a:endParaRPr>
        </a:p>
      </xdr:txBody>
    </xdr:sp>
    <xdr:clientData/>
  </xdr:twoCellAnchor>
  <xdr:twoCellAnchor>
    <xdr:from>
      <xdr:col>2</xdr:col>
      <xdr:colOff>1892301</xdr:colOff>
      <xdr:row>57</xdr:row>
      <xdr:rowOff>1240366</xdr:rowOff>
    </xdr:from>
    <xdr:to>
      <xdr:col>3</xdr:col>
      <xdr:colOff>848784</xdr:colOff>
      <xdr:row>58</xdr:row>
      <xdr:rowOff>170390</xdr:rowOff>
    </xdr:to>
    <xdr:cxnSp macro="">
      <xdr:nvCxnSpPr>
        <xdr:cNvPr id="24" name="Straight Arrow Connector 23">
          <a:extLst>
            <a:ext uri="{FF2B5EF4-FFF2-40B4-BE49-F238E27FC236}">
              <a16:creationId xmlns:a16="http://schemas.microsoft.com/office/drawing/2014/main" id="{00A8FB10-7AB7-44B7-B4E8-4080140691DB}"/>
            </a:ext>
          </a:extLst>
        </xdr:cNvPr>
        <xdr:cNvCxnSpPr>
          <a:stCxn id="23" idx="2"/>
        </xdr:cNvCxnSpPr>
      </xdr:nvCxnSpPr>
      <xdr:spPr>
        <a:xfrm>
          <a:off x="2241551" y="23052616"/>
          <a:ext cx="1009650" cy="686857"/>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1926167</xdr:colOff>
      <xdr:row>57</xdr:row>
      <xdr:rowOff>391583</xdr:rowOff>
    </xdr:from>
    <xdr:to>
      <xdr:col>6</xdr:col>
      <xdr:colOff>918634</xdr:colOff>
      <xdr:row>57</xdr:row>
      <xdr:rowOff>1229783</xdr:rowOff>
    </xdr:to>
    <xdr:sp macro="" textlink="">
      <xdr:nvSpPr>
        <xdr:cNvPr id="25" name="Rectangle 24">
          <a:extLst>
            <a:ext uri="{FF2B5EF4-FFF2-40B4-BE49-F238E27FC236}">
              <a16:creationId xmlns:a16="http://schemas.microsoft.com/office/drawing/2014/main" id="{64537E45-E209-449B-AE71-C0DA3FC855F5}"/>
            </a:ext>
          </a:extLst>
        </xdr:cNvPr>
        <xdr:cNvSpPr/>
      </xdr:nvSpPr>
      <xdr:spPr>
        <a:xfrm>
          <a:off x="4328584" y="22203833"/>
          <a:ext cx="4146550" cy="838200"/>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New fixtures are considered "proposed", existing fixtures that will still remain on the parcel are "existing to remain". </a:t>
          </a:r>
          <a:endParaRPr lang="en-US" sz="1600" kern="1200">
            <a:solidFill>
              <a:schemeClr val="tx1"/>
            </a:solidFill>
          </a:endParaRPr>
        </a:p>
      </xdr:txBody>
    </xdr:sp>
    <xdr:clientData/>
  </xdr:twoCellAnchor>
  <xdr:twoCellAnchor>
    <xdr:from>
      <xdr:col>4</xdr:col>
      <xdr:colOff>1121833</xdr:colOff>
      <xdr:row>57</xdr:row>
      <xdr:rowOff>1229783</xdr:rowOff>
    </xdr:from>
    <xdr:to>
      <xdr:col>5</xdr:col>
      <xdr:colOff>252942</xdr:colOff>
      <xdr:row>58</xdr:row>
      <xdr:rowOff>137584</xdr:rowOff>
    </xdr:to>
    <xdr:cxnSp macro="">
      <xdr:nvCxnSpPr>
        <xdr:cNvPr id="26" name="Straight Arrow Connector 25">
          <a:extLst>
            <a:ext uri="{FF2B5EF4-FFF2-40B4-BE49-F238E27FC236}">
              <a16:creationId xmlns:a16="http://schemas.microsoft.com/office/drawing/2014/main" id="{E91BA73B-A736-47D3-96BB-32A58A7C667F}"/>
            </a:ext>
          </a:extLst>
        </xdr:cNvPr>
        <xdr:cNvCxnSpPr>
          <a:stCxn id="25" idx="2"/>
        </xdr:cNvCxnSpPr>
      </xdr:nvCxnSpPr>
      <xdr:spPr>
        <a:xfrm flipH="1">
          <a:off x="5598583" y="23042033"/>
          <a:ext cx="803276" cy="664634"/>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4212167</xdr:colOff>
      <xdr:row>57</xdr:row>
      <xdr:rowOff>571500</xdr:rowOff>
    </xdr:from>
    <xdr:to>
      <xdr:col>8</xdr:col>
      <xdr:colOff>892175</xdr:colOff>
      <xdr:row>57</xdr:row>
      <xdr:rowOff>1409700</xdr:rowOff>
    </xdr:to>
    <xdr:sp macro="" textlink="">
      <xdr:nvSpPr>
        <xdr:cNvPr id="28" name="Rectangle 27">
          <a:extLst>
            <a:ext uri="{FF2B5EF4-FFF2-40B4-BE49-F238E27FC236}">
              <a16:creationId xmlns:a16="http://schemas.microsoft.com/office/drawing/2014/main" id="{577EEDAD-6FFE-4F8E-8221-6FE4EAEE9DB1}"/>
            </a:ext>
          </a:extLst>
        </xdr:cNvPr>
        <xdr:cNvSpPr/>
      </xdr:nvSpPr>
      <xdr:spPr>
        <a:xfrm>
          <a:off x="11768667" y="22383750"/>
          <a:ext cx="2384425" cy="838200"/>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a:solidFill>
                <a:schemeClr val="tx1"/>
              </a:solidFill>
            </a:rPr>
            <a:t>The</a:t>
          </a:r>
          <a:r>
            <a:rPr lang="en-US" sz="1600" kern="1200" baseline="0">
              <a:solidFill>
                <a:schemeClr val="tx1"/>
              </a:solidFill>
            </a:rPr>
            <a:t> definitions glossary has an explanation for what this means.</a:t>
          </a:r>
          <a:endParaRPr lang="en-US" sz="1600" kern="1200">
            <a:solidFill>
              <a:schemeClr val="tx1"/>
            </a:solidFill>
          </a:endParaRPr>
        </a:p>
      </xdr:txBody>
    </xdr:sp>
    <xdr:clientData/>
  </xdr:twoCellAnchor>
  <xdr:twoCellAnchor>
    <xdr:from>
      <xdr:col>7</xdr:col>
      <xdr:colOff>1067858</xdr:colOff>
      <xdr:row>57</xdr:row>
      <xdr:rowOff>1409700</xdr:rowOff>
    </xdr:from>
    <xdr:to>
      <xdr:col>8</xdr:col>
      <xdr:colOff>787400</xdr:colOff>
      <xdr:row>58</xdr:row>
      <xdr:rowOff>158749</xdr:rowOff>
    </xdr:to>
    <xdr:cxnSp macro="">
      <xdr:nvCxnSpPr>
        <xdr:cNvPr id="29" name="Straight Arrow Connector 28">
          <a:extLst>
            <a:ext uri="{FF2B5EF4-FFF2-40B4-BE49-F238E27FC236}">
              <a16:creationId xmlns:a16="http://schemas.microsoft.com/office/drawing/2014/main" id="{7C720087-98AF-4967-B5BA-36D859499FD1}"/>
            </a:ext>
          </a:extLst>
        </xdr:cNvPr>
        <xdr:cNvCxnSpPr>
          <a:stCxn id="28" idx="2"/>
        </xdr:cNvCxnSpPr>
      </xdr:nvCxnSpPr>
      <xdr:spPr>
        <a:xfrm>
          <a:off x="12963525" y="23221950"/>
          <a:ext cx="1084792" cy="505882"/>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1555749</xdr:colOff>
      <xdr:row>57</xdr:row>
      <xdr:rowOff>603250</xdr:rowOff>
    </xdr:from>
    <xdr:to>
      <xdr:col>10</xdr:col>
      <xdr:colOff>746124</xdr:colOff>
      <xdr:row>57</xdr:row>
      <xdr:rowOff>1441450</xdr:rowOff>
    </xdr:to>
    <xdr:sp macro="" textlink="">
      <xdr:nvSpPr>
        <xdr:cNvPr id="30" name="Rectangle 29">
          <a:extLst>
            <a:ext uri="{FF2B5EF4-FFF2-40B4-BE49-F238E27FC236}">
              <a16:creationId xmlns:a16="http://schemas.microsoft.com/office/drawing/2014/main" id="{9437322B-F5A6-43F6-8FA8-240A0E45C61D}"/>
            </a:ext>
          </a:extLst>
        </xdr:cNvPr>
        <xdr:cNvSpPr/>
      </xdr:nvSpPr>
      <xdr:spPr>
        <a:xfrm>
          <a:off x="14816666" y="22415500"/>
          <a:ext cx="4132791" cy="838200"/>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Some mounting types have specific requirements. If you do not see a specific mounting type that is accurate, choose other.</a:t>
          </a:r>
          <a:endParaRPr lang="en-US" sz="1600" kern="1200">
            <a:solidFill>
              <a:schemeClr val="tx1"/>
            </a:solidFill>
          </a:endParaRPr>
        </a:p>
      </xdr:txBody>
    </xdr:sp>
    <xdr:clientData/>
  </xdr:twoCellAnchor>
  <xdr:twoCellAnchor>
    <xdr:from>
      <xdr:col>9</xdr:col>
      <xdr:colOff>1407583</xdr:colOff>
      <xdr:row>57</xdr:row>
      <xdr:rowOff>1441450</xdr:rowOff>
    </xdr:from>
    <xdr:to>
      <xdr:col>9</xdr:col>
      <xdr:colOff>1516062</xdr:colOff>
      <xdr:row>58</xdr:row>
      <xdr:rowOff>179917</xdr:rowOff>
    </xdr:to>
    <xdr:cxnSp macro="">
      <xdr:nvCxnSpPr>
        <xdr:cNvPr id="31" name="Straight Arrow Connector 30">
          <a:extLst>
            <a:ext uri="{FF2B5EF4-FFF2-40B4-BE49-F238E27FC236}">
              <a16:creationId xmlns:a16="http://schemas.microsoft.com/office/drawing/2014/main" id="{C6F6F953-BD9A-4E9C-90FF-A84E7A6A2A2A}"/>
            </a:ext>
          </a:extLst>
        </xdr:cNvPr>
        <xdr:cNvCxnSpPr>
          <a:stCxn id="30" idx="2"/>
        </xdr:cNvCxnSpPr>
      </xdr:nvCxnSpPr>
      <xdr:spPr>
        <a:xfrm flipH="1">
          <a:off x="16774583" y="23253700"/>
          <a:ext cx="108479" cy="495300"/>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946150</xdr:colOff>
      <xdr:row>57</xdr:row>
      <xdr:rowOff>596899</xdr:rowOff>
    </xdr:from>
    <xdr:to>
      <xdr:col>11</xdr:col>
      <xdr:colOff>1562100</xdr:colOff>
      <xdr:row>57</xdr:row>
      <xdr:rowOff>1435099</xdr:rowOff>
    </xdr:to>
    <xdr:sp macro="" textlink="">
      <xdr:nvSpPr>
        <xdr:cNvPr id="32" name="Rectangle 31">
          <a:extLst>
            <a:ext uri="{FF2B5EF4-FFF2-40B4-BE49-F238E27FC236}">
              <a16:creationId xmlns:a16="http://schemas.microsoft.com/office/drawing/2014/main" id="{985CE6F7-EBF6-44B5-A599-E547953A340F}"/>
            </a:ext>
          </a:extLst>
        </xdr:cNvPr>
        <xdr:cNvSpPr/>
      </xdr:nvSpPr>
      <xdr:spPr>
        <a:xfrm>
          <a:off x="19259550" y="26606499"/>
          <a:ext cx="2571750" cy="838200"/>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a:solidFill>
                <a:schemeClr val="tx1"/>
              </a:solidFill>
            </a:rPr>
            <a:t>Even if there is no maximum mounting height, please enter a number to validate.</a:t>
          </a:r>
        </a:p>
      </xdr:txBody>
    </xdr:sp>
    <xdr:clientData/>
  </xdr:twoCellAnchor>
  <xdr:twoCellAnchor>
    <xdr:from>
      <xdr:col>11</xdr:col>
      <xdr:colOff>276225</xdr:colOff>
      <xdr:row>57</xdr:row>
      <xdr:rowOff>1435099</xdr:rowOff>
    </xdr:from>
    <xdr:to>
      <xdr:col>11</xdr:col>
      <xdr:colOff>1168400</xdr:colOff>
      <xdr:row>58</xdr:row>
      <xdr:rowOff>241300</xdr:rowOff>
    </xdr:to>
    <xdr:cxnSp macro="">
      <xdr:nvCxnSpPr>
        <xdr:cNvPr id="33" name="Straight Arrow Connector 32">
          <a:extLst>
            <a:ext uri="{FF2B5EF4-FFF2-40B4-BE49-F238E27FC236}">
              <a16:creationId xmlns:a16="http://schemas.microsoft.com/office/drawing/2014/main" id="{478D938F-6C1A-44A7-8022-4BE416240B81}"/>
            </a:ext>
          </a:extLst>
        </xdr:cNvPr>
        <xdr:cNvCxnSpPr>
          <a:stCxn id="32" idx="2"/>
        </xdr:cNvCxnSpPr>
      </xdr:nvCxnSpPr>
      <xdr:spPr>
        <a:xfrm>
          <a:off x="20545425" y="27444699"/>
          <a:ext cx="892175" cy="558801"/>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1297516</xdr:colOff>
      <xdr:row>57</xdr:row>
      <xdr:rowOff>622301</xdr:rowOff>
    </xdr:from>
    <xdr:to>
      <xdr:col>16</xdr:col>
      <xdr:colOff>633942</xdr:colOff>
      <xdr:row>57</xdr:row>
      <xdr:rowOff>1460501</xdr:rowOff>
    </xdr:to>
    <xdr:sp macro="" textlink="">
      <xdr:nvSpPr>
        <xdr:cNvPr id="36" name="Rectangle 35">
          <a:extLst>
            <a:ext uri="{FF2B5EF4-FFF2-40B4-BE49-F238E27FC236}">
              <a16:creationId xmlns:a16="http://schemas.microsoft.com/office/drawing/2014/main" id="{EB1F1DF8-519A-4CC0-BA1A-0A3A13D3A91A}"/>
            </a:ext>
          </a:extLst>
        </xdr:cNvPr>
        <xdr:cNvSpPr/>
      </xdr:nvSpPr>
      <xdr:spPr>
        <a:xfrm>
          <a:off x="26126016" y="26631901"/>
          <a:ext cx="5724526" cy="838200"/>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New fixtures must pass. Existing features do not need to pass if scope is &lt;40%, but must otherwise. Error explanations will still appear if an existing to remain fixture does not meet current code. </a:t>
          </a:r>
          <a:endParaRPr lang="en-US" sz="1600" kern="1200">
            <a:solidFill>
              <a:schemeClr val="tx1"/>
            </a:solidFill>
          </a:endParaRPr>
        </a:p>
      </xdr:txBody>
    </xdr:sp>
    <xdr:clientData/>
  </xdr:twoCellAnchor>
  <xdr:twoCellAnchor>
    <xdr:from>
      <xdr:col>13</xdr:col>
      <xdr:colOff>1993900</xdr:colOff>
      <xdr:row>57</xdr:row>
      <xdr:rowOff>1460501</xdr:rowOff>
    </xdr:from>
    <xdr:to>
      <xdr:col>14</xdr:col>
      <xdr:colOff>2013479</xdr:colOff>
      <xdr:row>59</xdr:row>
      <xdr:rowOff>165100</xdr:rowOff>
    </xdr:to>
    <xdr:cxnSp macro="">
      <xdr:nvCxnSpPr>
        <xdr:cNvPr id="37" name="Straight Arrow Connector 36">
          <a:extLst>
            <a:ext uri="{FF2B5EF4-FFF2-40B4-BE49-F238E27FC236}">
              <a16:creationId xmlns:a16="http://schemas.microsoft.com/office/drawing/2014/main" id="{39D571ED-9EAF-4513-8258-4C5ECBC5C839}"/>
            </a:ext>
          </a:extLst>
        </xdr:cNvPr>
        <xdr:cNvCxnSpPr>
          <a:stCxn id="36" idx="2"/>
        </xdr:cNvCxnSpPr>
      </xdr:nvCxnSpPr>
      <xdr:spPr>
        <a:xfrm flipH="1">
          <a:off x="26822400" y="27470101"/>
          <a:ext cx="2165879" cy="1244599"/>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564091</xdr:colOff>
      <xdr:row>58</xdr:row>
      <xdr:rowOff>160866</xdr:rowOff>
    </xdr:from>
    <xdr:to>
      <xdr:col>16</xdr:col>
      <xdr:colOff>540807</xdr:colOff>
      <xdr:row>59</xdr:row>
      <xdr:rowOff>211666</xdr:rowOff>
    </xdr:to>
    <xdr:sp macro="" textlink="">
      <xdr:nvSpPr>
        <xdr:cNvPr id="40" name="Rectangle 39">
          <a:extLst>
            <a:ext uri="{FF2B5EF4-FFF2-40B4-BE49-F238E27FC236}">
              <a16:creationId xmlns:a16="http://schemas.microsoft.com/office/drawing/2014/main" id="{46C6A7AB-E730-4586-87BE-9C10A758349F}"/>
            </a:ext>
          </a:extLst>
        </xdr:cNvPr>
        <xdr:cNvSpPr/>
      </xdr:nvSpPr>
      <xdr:spPr>
        <a:xfrm>
          <a:off x="29697891" y="27923066"/>
          <a:ext cx="2059516" cy="838200"/>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a:solidFill>
                <a:schemeClr val="tx1"/>
              </a:solidFill>
            </a:rPr>
            <a:t>Explanations</a:t>
          </a:r>
          <a:r>
            <a:rPr lang="en-US" sz="1600" kern="1200" baseline="0">
              <a:solidFill>
                <a:schemeClr val="tx1"/>
              </a:solidFill>
            </a:rPr>
            <a:t> for why a specific fixture does not meet code. </a:t>
          </a:r>
          <a:endParaRPr lang="en-US" sz="1600" kern="1200">
            <a:solidFill>
              <a:schemeClr val="tx1"/>
            </a:solidFill>
          </a:endParaRPr>
        </a:p>
      </xdr:txBody>
    </xdr:sp>
    <xdr:clientData/>
  </xdr:twoCellAnchor>
  <xdr:twoCellAnchor>
    <xdr:from>
      <xdr:col>14</xdr:col>
      <xdr:colOff>1905000</xdr:colOff>
      <xdr:row>58</xdr:row>
      <xdr:rowOff>579966</xdr:rowOff>
    </xdr:from>
    <xdr:to>
      <xdr:col>15</xdr:col>
      <xdr:colOff>564091</xdr:colOff>
      <xdr:row>59</xdr:row>
      <xdr:rowOff>292100</xdr:rowOff>
    </xdr:to>
    <xdr:cxnSp macro="">
      <xdr:nvCxnSpPr>
        <xdr:cNvPr id="41" name="Straight Arrow Connector 40">
          <a:extLst>
            <a:ext uri="{FF2B5EF4-FFF2-40B4-BE49-F238E27FC236}">
              <a16:creationId xmlns:a16="http://schemas.microsoft.com/office/drawing/2014/main" id="{05128B7B-F285-4DC6-90F7-7C49ABABCEC8}"/>
            </a:ext>
          </a:extLst>
        </xdr:cNvPr>
        <xdr:cNvCxnSpPr>
          <a:stCxn id="40" idx="1"/>
        </xdr:cNvCxnSpPr>
      </xdr:nvCxnSpPr>
      <xdr:spPr>
        <a:xfrm flipH="1">
          <a:off x="28879800" y="28342166"/>
          <a:ext cx="818091" cy="499534"/>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1761067</xdr:colOff>
      <xdr:row>57</xdr:row>
      <xdr:rowOff>592666</xdr:rowOff>
    </xdr:from>
    <xdr:to>
      <xdr:col>13</xdr:col>
      <xdr:colOff>1079500</xdr:colOff>
      <xdr:row>57</xdr:row>
      <xdr:rowOff>1430866</xdr:rowOff>
    </xdr:to>
    <xdr:sp macro="" textlink="">
      <xdr:nvSpPr>
        <xdr:cNvPr id="43" name="Rectangle 42">
          <a:extLst>
            <a:ext uri="{FF2B5EF4-FFF2-40B4-BE49-F238E27FC236}">
              <a16:creationId xmlns:a16="http://schemas.microsoft.com/office/drawing/2014/main" id="{5C450211-30A4-4E79-A16B-F5F19B81F01B}"/>
            </a:ext>
          </a:extLst>
        </xdr:cNvPr>
        <xdr:cNvSpPr/>
      </xdr:nvSpPr>
      <xdr:spPr>
        <a:xfrm>
          <a:off x="22030267" y="26602266"/>
          <a:ext cx="3877733" cy="838200"/>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a:solidFill>
                <a:schemeClr val="tx1"/>
              </a:solidFill>
            </a:rPr>
            <a:t>Allowance type corresponds to Table 1b. If it is being used for</a:t>
          </a:r>
          <a:r>
            <a:rPr lang="en-US" sz="1600" kern="1200" baseline="0">
              <a:solidFill>
                <a:schemeClr val="tx1"/>
              </a:solidFill>
            </a:rPr>
            <a:t> something other than an allowance type listed, choose other. </a:t>
          </a:r>
          <a:endParaRPr lang="en-US" sz="1600" kern="1200">
            <a:solidFill>
              <a:schemeClr val="tx1"/>
            </a:solidFill>
          </a:endParaRPr>
        </a:p>
      </xdr:txBody>
    </xdr:sp>
    <xdr:clientData/>
  </xdr:twoCellAnchor>
  <xdr:twoCellAnchor>
    <xdr:from>
      <xdr:col>12</xdr:col>
      <xdr:colOff>1485900</xdr:colOff>
      <xdr:row>57</xdr:row>
      <xdr:rowOff>1430866</xdr:rowOff>
    </xdr:from>
    <xdr:to>
      <xdr:col>12</xdr:col>
      <xdr:colOff>1579034</xdr:colOff>
      <xdr:row>58</xdr:row>
      <xdr:rowOff>241300</xdr:rowOff>
    </xdr:to>
    <xdr:cxnSp macro="">
      <xdr:nvCxnSpPr>
        <xdr:cNvPr id="44" name="Straight Arrow Connector 43">
          <a:extLst>
            <a:ext uri="{FF2B5EF4-FFF2-40B4-BE49-F238E27FC236}">
              <a16:creationId xmlns:a16="http://schemas.microsoft.com/office/drawing/2014/main" id="{0C37E003-FAB3-46F0-872A-7BAD5D90F482}"/>
            </a:ext>
          </a:extLst>
        </xdr:cNvPr>
        <xdr:cNvCxnSpPr>
          <a:stCxn id="43" idx="2"/>
        </xdr:cNvCxnSpPr>
      </xdr:nvCxnSpPr>
      <xdr:spPr>
        <a:xfrm flipH="1">
          <a:off x="23876000" y="27440466"/>
          <a:ext cx="93134" cy="563034"/>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200025</xdr:colOff>
      <xdr:row>53</xdr:row>
      <xdr:rowOff>126577</xdr:rowOff>
    </xdr:from>
    <xdr:to>
      <xdr:col>10</xdr:col>
      <xdr:colOff>278765</xdr:colOff>
      <xdr:row>57</xdr:row>
      <xdr:rowOff>307341</xdr:rowOff>
    </xdr:to>
    <xdr:sp macro="" textlink="">
      <xdr:nvSpPr>
        <xdr:cNvPr id="48" name="Rectangle 47">
          <a:extLst>
            <a:ext uri="{FF2B5EF4-FFF2-40B4-BE49-F238E27FC236}">
              <a16:creationId xmlns:a16="http://schemas.microsoft.com/office/drawing/2014/main" id="{7C70302B-D9CE-4DA9-AB95-2B34B0D5C5FA}"/>
            </a:ext>
          </a:extLst>
        </xdr:cNvPr>
        <xdr:cNvSpPr/>
      </xdr:nvSpPr>
      <xdr:spPr>
        <a:xfrm>
          <a:off x="14068425" y="23900977"/>
          <a:ext cx="5031740" cy="1641264"/>
        </a:xfrm>
        <a:prstGeom prst="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  Table 2a: This table provides us with a list of all lighting fixtures that will be on the parcel upon completion. That includes both new / added fixtures as well as any features on the property that are to remain. Fill out all the columns for all lighting fixtures on the whole parcel.</a:t>
          </a:r>
          <a:endParaRPr lang="en-US" sz="1600" kern="1200">
            <a:solidFill>
              <a:schemeClr val="tx1"/>
            </a:solidFill>
          </a:endParaRPr>
        </a:p>
      </xdr:txBody>
    </xdr:sp>
    <xdr:clientData/>
  </xdr:twoCellAnchor>
  <xdr:twoCellAnchor>
    <xdr:from>
      <xdr:col>7</xdr:col>
      <xdr:colOff>1067223</xdr:colOff>
      <xdr:row>52</xdr:row>
      <xdr:rowOff>91864</xdr:rowOff>
    </xdr:from>
    <xdr:to>
      <xdr:col>8</xdr:col>
      <xdr:colOff>352425</xdr:colOff>
      <xdr:row>54</xdr:row>
      <xdr:rowOff>35560</xdr:rowOff>
    </xdr:to>
    <xdr:sp macro="" textlink="">
      <xdr:nvSpPr>
        <xdr:cNvPr id="49" name="Oval 48">
          <a:extLst>
            <a:ext uri="{FF2B5EF4-FFF2-40B4-BE49-F238E27FC236}">
              <a16:creationId xmlns:a16="http://schemas.microsoft.com/office/drawing/2014/main" id="{A243325B-74BB-4546-A535-405D3F2CFEC2}"/>
            </a:ext>
          </a:extLst>
        </xdr:cNvPr>
        <xdr:cNvSpPr/>
      </xdr:nvSpPr>
      <xdr:spPr>
        <a:xfrm>
          <a:off x="13576723" y="23663064"/>
          <a:ext cx="644102" cy="578696"/>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4000" b="1" kern="1200"/>
            <a:t>5</a:t>
          </a:r>
        </a:p>
      </xdr:txBody>
    </xdr:sp>
    <xdr:clientData/>
  </xdr:twoCellAnchor>
  <xdr:twoCellAnchor>
    <xdr:from>
      <xdr:col>8</xdr:col>
      <xdr:colOff>243417</xdr:colOff>
      <xdr:row>72</xdr:row>
      <xdr:rowOff>184149</xdr:rowOff>
    </xdr:from>
    <xdr:to>
      <xdr:col>10</xdr:col>
      <xdr:colOff>337609</xdr:colOff>
      <xdr:row>75</xdr:row>
      <xdr:rowOff>126999</xdr:rowOff>
    </xdr:to>
    <xdr:sp macro="" textlink="">
      <xdr:nvSpPr>
        <xdr:cNvPr id="50" name="Rectangle 49">
          <a:extLst>
            <a:ext uri="{FF2B5EF4-FFF2-40B4-BE49-F238E27FC236}">
              <a16:creationId xmlns:a16="http://schemas.microsoft.com/office/drawing/2014/main" id="{FE1161FF-BC4A-4BEE-A578-61AEACB65F24}"/>
            </a:ext>
          </a:extLst>
        </xdr:cNvPr>
        <xdr:cNvSpPr/>
      </xdr:nvSpPr>
      <xdr:spPr>
        <a:xfrm>
          <a:off x="13504334" y="29013149"/>
          <a:ext cx="5036608" cy="1085850"/>
        </a:xfrm>
        <a:prstGeom prst="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  Table 2b: This table contains an analysis of the proposed parcel lighting as a whole. It also will indicate if filling out Table 3a is necessary. There is nothing for the applicant to fill out in this table. </a:t>
          </a:r>
          <a:endParaRPr lang="en-US" sz="1600" kern="1200">
            <a:solidFill>
              <a:schemeClr val="tx1"/>
            </a:solidFill>
          </a:endParaRPr>
        </a:p>
      </xdr:txBody>
    </xdr:sp>
    <xdr:clientData/>
  </xdr:twoCellAnchor>
  <xdr:twoCellAnchor>
    <xdr:from>
      <xdr:col>7</xdr:col>
      <xdr:colOff>1129877</xdr:colOff>
      <xdr:row>71</xdr:row>
      <xdr:rowOff>368300</xdr:rowOff>
    </xdr:from>
    <xdr:to>
      <xdr:col>8</xdr:col>
      <xdr:colOff>398357</xdr:colOff>
      <xdr:row>73</xdr:row>
      <xdr:rowOff>360257</xdr:rowOff>
    </xdr:to>
    <xdr:sp macro="" textlink="">
      <xdr:nvSpPr>
        <xdr:cNvPr id="51" name="Oval 50">
          <a:extLst>
            <a:ext uri="{FF2B5EF4-FFF2-40B4-BE49-F238E27FC236}">
              <a16:creationId xmlns:a16="http://schemas.microsoft.com/office/drawing/2014/main" id="{6546DDF6-A30F-433C-817C-B4211214E5F6}"/>
            </a:ext>
          </a:extLst>
        </xdr:cNvPr>
        <xdr:cNvSpPr/>
      </xdr:nvSpPr>
      <xdr:spPr>
        <a:xfrm>
          <a:off x="13639377" y="32245300"/>
          <a:ext cx="627380" cy="614257"/>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4000" b="1" kern="1200"/>
            <a:t>6</a:t>
          </a:r>
        </a:p>
      </xdr:txBody>
    </xdr:sp>
    <xdr:clientData/>
  </xdr:twoCellAnchor>
  <xdr:twoCellAnchor>
    <xdr:from>
      <xdr:col>3</xdr:col>
      <xdr:colOff>1376680</xdr:colOff>
      <xdr:row>70</xdr:row>
      <xdr:rowOff>1402503</xdr:rowOff>
    </xdr:from>
    <xdr:to>
      <xdr:col>6</xdr:col>
      <xdr:colOff>22436</xdr:colOff>
      <xdr:row>71</xdr:row>
      <xdr:rowOff>126577</xdr:rowOff>
    </xdr:to>
    <xdr:sp macro="" textlink="">
      <xdr:nvSpPr>
        <xdr:cNvPr id="52" name="Rectangle 51">
          <a:extLst>
            <a:ext uri="{FF2B5EF4-FFF2-40B4-BE49-F238E27FC236}">
              <a16:creationId xmlns:a16="http://schemas.microsoft.com/office/drawing/2014/main" id="{B213F52C-F4F2-4C37-84C6-5838952A18CC}"/>
            </a:ext>
          </a:extLst>
        </xdr:cNvPr>
        <xdr:cNvSpPr/>
      </xdr:nvSpPr>
      <xdr:spPr>
        <a:xfrm>
          <a:off x="4399280" y="31412603"/>
          <a:ext cx="3801956" cy="590974"/>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Total lumen allowance is based on values in Table 1 and 1b. </a:t>
          </a:r>
          <a:endParaRPr lang="en-US" sz="1600" kern="1200">
            <a:solidFill>
              <a:schemeClr val="tx1"/>
            </a:solidFill>
          </a:endParaRPr>
        </a:p>
      </xdr:txBody>
    </xdr:sp>
    <xdr:clientData/>
  </xdr:twoCellAnchor>
  <xdr:twoCellAnchor>
    <xdr:from>
      <xdr:col>2</xdr:col>
      <xdr:colOff>1727200</xdr:colOff>
      <xdr:row>71</xdr:row>
      <xdr:rowOff>129117</xdr:rowOff>
    </xdr:from>
    <xdr:to>
      <xdr:col>4</xdr:col>
      <xdr:colOff>1206923</xdr:colOff>
      <xdr:row>74</xdr:row>
      <xdr:rowOff>241300</xdr:rowOff>
    </xdr:to>
    <xdr:cxnSp macro="">
      <xdr:nvCxnSpPr>
        <xdr:cNvPr id="53" name="Straight Arrow Connector 52">
          <a:extLst>
            <a:ext uri="{FF2B5EF4-FFF2-40B4-BE49-F238E27FC236}">
              <a16:creationId xmlns:a16="http://schemas.microsoft.com/office/drawing/2014/main" id="{564F30AC-057A-4703-9423-5352A76BE7F8}"/>
            </a:ext>
          </a:extLst>
        </xdr:cNvPr>
        <xdr:cNvCxnSpPr>
          <a:stCxn id="52" idx="2"/>
        </xdr:cNvCxnSpPr>
      </xdr:nvCxnSpPr>
      <xdr:spPr>
        <a:xfrm flipH="1">
          <a:off x="2705100" y="32006117"/>
          <a:ext cx="3594523" cy="1280583"/>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137584</xdr:colOff>
      <xdr:row>70</xdr:row>
      <xdr:rowOff>836083</xdr:rowOff>
    </xdr:from>
    <xdr:to>
      <xdr:col>6</xdr:col>
      <xdr:colOff>4103158</xdr:colOff>
      <xdr:row>71</xdr:row>
      <xdr:rowOff>106892</xdr:rowOff>
    </xdr:to>
    <xdr:sp macro="" textlink="">
      <xdr:nvSpPr>
        <xdr:cNvPr id="59" name="Rectangle 58">
          <a:extLst>
            <a:ext uri="{FF2B5EF4-FFF2-40B4-BE49-F238E27FC236}">
              <a16:creationId xmlns:a16="http://schemas.microsoft.com/office/drawing/2014/main" id="{29B3BF87-1634-41FD-87CB-151B7FD56F45}"/>
            </a:ext>
          </a:extLst>
        </xdr:cNvPr>
        <xdr:cNvSpPr/>
      </xdr:nvSpPr>
      <xdr:spPr>
        <a:xfrm>
          <a:off x="7694084" y="28458583"/>
          <a:ext cx="3965574" cy="1133476"/>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a:solidFill>
                <a:schemeClr val="tx1"/>
              </a:solidFill>
            </a:rPr>
            <a:t>For</a:t>
          </a:r>
          <a:r>
            <a:rPr lang="en-US" sz="1600" kern="1200" baseline="0">
              <a:solidFill>
                <a:schemeClr val="tx1"/>
              </a:solidFill>
            </a:rPr>
            <a:t> parcels that require full lighting compliance, both percent unshielded and total proposed lumens must pass. This parcel does not (see C30/31).</a:t>
          </a:r>
          <a:endParaRPr lang="en-US" sz="1600" kern="1200">
            <a:solidFill>
              <a:schemeClr val="tx1"/>
            </a:solidFill>
          </a:endParaRPr>
        </a:p>
      </xdr:txBody>
    </xdr:sp>
    <xdr:clientData/>
  </xdr:twoCellAnchor>
  <xdr:twoCellAnchor>
    <xdr:from>
      <xdr:col>5</xdr:col>
      <xdr:colOff>1079500</xdr:colOff>
      <xdr:row>71</xdr:row>
      <xdr:rowOff>106892</xdr:rowOff>
    </xdr:from>
    <xdr:to>
      <xdr:col>6</xdr:col>
      <xdr:colOff>2120371</xdr:colOff>
      <xdr:row>77</xdr:row>
      <xdr:rowOff>328084</xdr:rowOff>
    </xdr:to>
    <xdr:cxnSp macro="">
      <xdr:nvCxnSpPr>
        <xdr:cNvPr id="60" name="Straight Arrow Connector 59">
          <a:extLst>
            <a:ext uri="{FF2B5EF4-FFF2-40B4-BE49-F238E27FC236}">
              <a16:creationId xmlns:a16="http://schemas.microsoft.com/office/drawing/2014/main" id="{2A09C759-5E26-4864-BAB7-DB05AA66F2CF}"/>
            </a:ext>
          </a:extLst>
        </xdr:cNvPr>
        <xdr:cNvCxnSpPr>
          <a:stCxn id="59" idx="2"/>
        </xdr:cNvCxnSpPr>
      </xdr:nvCxnSpPr>
      <xdr:spPr>
        <a:xfrm flipH="1">
          <a:off x="7228417" y="30184725"/>
          <a:ext cx="2448454" cy="2157942"/>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1312333</xdr:colOff>
      <xdr:row>82</xdr:row>
      <xdr:rowOff>374649</xdr:rowOff>
    </xdr:from>
    <xdr:to>
      <xdr:col>10</xdr:col>
      <xdr:colOff>41275</xdr:colOff>
      <xdr:row>88</xdr:row>
      <xdr:rowOff>63499</xdr:rowOff>
    </xdr:to>
    <xdr:sp macro="" textlink="">
      <xdr:nvSpPr>
        <xdr:cNvPr id="62" name="Rectangle 61">
          <a:extLst>
            <a:ext uri="{FF2B5EF4-FFF2-40B4-BE49-F238E27FC236}">
              <a16:creationId xmlns:a16="http://schemas.microsoft.com/office/drawing/2014/main" id="{BB50C6C8-6834-445E-BC75-42BE6DE34126}"/>
            </a:ext>
          </a:extLst>
        </xdr:cNvPr>
        <xdr:cNvSpPr/>
      </xdr:nvSpPr>
      <xdr:spPr>
        <a:xfrm>
          <a:off x="13208000" y="34939816"/>
          <a:ext cx="5036608" cy="1085850"/>
        </a:xfrm>
        <a:prstGeom prst="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  Table 2c: This table compares the selections made in Table 1b to the proposed parcel. Lumens for each allowance type may not exceed what was granted in Table 1b.</a:t>
          </a:r>
          <a:endParaRPr lang="en-US" sz="1600" kern="1200">
            <a:solidFill>
              <a:schemeClr val="tx1"/>
            </a:solidFill>
          </a:endParaRPr>
        </a:p>
      </xdr:txBody>
    </xdr:sp>
    <xdr:clientData/>
  </xdr:twoCellAnchor>
  <xdr:twoCellAnchor>
    <xdr:from>
      <xdr:col>7</xdr:col>
      <xdr:colOff>836083</xdr:colOff>
      <xdr:row>82</xdr:row>
      <xdr:rowOff>126999</xdr:rowOff>
    </xdr:from>
    <xdr:to>
      <xdr:col>8</xdr:col>
      <xdr:colOff>99483</xdr:colOff>
      <xdr:row>84</xdr:row>
      <xdr:rowOff>156634</xdr:rowOff>
    </xdr:to>
    <xdr:sp macro="" textlink="">
      <xdr:nvSpPr>
        <xdr:cNvPr id="63" name="Oval 62">
          <a:extLst>
            <a:ext uri="{FF2B5EF4-FFF2-40B4-BE49-F238E27FC236}">
              <a16:creationId xmlns:a16="http://schemas.microsoft.com/office/drawing/2014/main" id="{EDE13B4E-7831-4B48-8ADB-098D8FE5B5EC}"/>
            </a:ext>
          </a:extLst>
        </xdr:cNvPr>
        <xdr:cNvSpPr/>
      </xdr:nvSpPr>
      <xdr:spPr>
        <a:xfrm>
          <a:off x="12731750" y="34692166"/>
          <a:ext cx="628650" cy="622301"/>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4000" b="1" kern="1200"/>
            <a:t>7</a:t>
          </a:r>
        </a:p>
      </xdr:txBody>
    </xdr:sp>
    <xdr:clientData/>
  </xdr:twoCellAnchor>
  <xdr:twoCellAnchor>
    <xdr:from>
      <xdr:col>3</xdr:col>
      <xdr:colOff>243417</xdr:colOff>
      <xdr:row>92</xdr:row>
      <xdr:rowOff>391584</xdr:rowOff>
    </xdr:from>
    <xdr:to>
      <xdr:col>5</xdr:col>
      <xdr:colOff>483659</xdr:colOff>
      <xdr:row>92</xdr:row>
      <xdr:rowOff>1477434</xdr:rowOff>
    </xdr:to>
    <xdr:sp macro="" textlink="">
      <xdr:nvSpPr>
        <xdr:cNvPr id="64" name="Rectangle 63">
          <a:extLst>
            <a:ext uri="{FF2B5EF4-FFF2-40B4-BE49-F238E27FC236}">
              <a16:creationId xmlns:a16="http://schemas.microsoft.com/office/drawing/2014/main" id="{5F14183A-6FDD-4B6E-99EF-90B702E4AF83}"/>
            </a:ext>
          </a:extLst>
        </xdr:cNvPr>
        <xdr:cNvSpPr/>
      </xdr:nvSpPr>
      <xdr:spPr>
        <a:xfrm>
          <a:off x="2645834" y="37581417"/>
          <a:ext cx="3986742" cy="1085850"/>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Indicates whether or not the whole property must fully comply. The only time this will not be required is when &lt;40% of the parcel lumen allowance is proposed as new.</a:t>
          </a:r>
          <a:endParaRPr lang="en-US" sz="1600" kern="1200">
            <a:solidFill>
              <a:schemeClr val="tx1"/>
            </a:solidFill>
          </a:endParaRPr>
        </a:p>
      </xdr:txBody>
    </xdr:sp>
    <xdr:clientData/>
  </xdr:twoCellAnchor>
  <xdr:twoCellAnchor>
    <xdr:from>
      <xdr:col>3</xdr:col>
      <xdr:colOff>1241426</xdr:colOff>
      <xdr:row>91</xdr:row>
      <xdr:rowOff>402166</xdr:rowOff>
    </xdr:from>
    <xdr:to>
      <xdr:col>4</xdr:col>
      <xdr:colOff>148168</xdr:colOff>
      <xdr:row>92</xdr:row>
      <xdr:rowOff>391584</xdr:rowOff>
    </xdr:to>
    <xdr:cxnSp macro="">
      <xdr:nvCxnSpPr>
        <xdr:cNvPr id="65" name="Straight Arrow Connector 64">
          <a:extLst>
            <a:ext uri="{FF2B5EF4-FFF2-40B4-BE49-F238E27FC236}">
              <a16:creationId xmlns:a16="http://schemas.microsoft.com/office/drawing/2014/main" id="{89A3860B-9574-4859-B5FD-C1EB31A3F16C}"/>
            </a:ext>
          </a:extLst>
        </xdr:cNvPr>
        <xdr:cNvCxnSpPr>
          <a:stCxn id="64" idx="0"/>
        </xdr:cNvCxnSpPr>
      </xdr:nvCxnSpPr>
      <xdr:spPr>
        <a:xfrm flipH="1" flipV="1">
          <a:off x="3643843" y="36999333"/>
          <a:ext cx="981075" cy="582084"/>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2042583</xdr:colOff>
      <xdr:row>92</xdr:row>
      <xdr:rowOff>297391</xdr:rowOff>
    </xdr:from>
    <xdr:to>
      <xdr:col>9</xdr:col>
      <xdr:colOff>192616</xdr:colOff>
      <xdr:row>92</xdr:row>
      <xdr:rowOff>1640416</xdr:rowOff>
    </xdr:to>
    <xdr:sp macro="" textlink="">
      <xdr:nvSpPr>
        <xdr:cNvPr id="66" name="Rectangle 65">
          <a:extLst>
            <a:ext uri="{FF2B5EF4-FFF2-40B4-BE49-F238E27FC236}">
              <a16:creationId xmlns:a16="http://schemas.microsoft.com/office/drawing/2014/main" id="{FD07C08E-4FCE-414E-9D04-C4C53EE026F7}"/>
            </a:ext>
          </a:extLst>
        </xdr:cNvPr>
        <xdr:cNvSpPr/>
      </xdr:nvSpPr>
      <xdr:spPr>
        <a:xfrm>
          <a:off x="9599083" y="37487224"/>
          <a:ext cx="5960533" cy="1343025"/>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This box will tell you whether or not you should fill out Table 3a. If whole parcel compliance is required, Table 3a should NOT be filled out. If whole parcel compliance is not required, Table 3a should only be filled out if the proposed parcel in Table 2b does not comply. An explanation for why can be found in the description of Table 3a.</a:t>
          </a:r>
          <a:endParaRPr lang="en-US" sz="1600" kern="1200">
            <a:solidFill>
              <a:schemeClr val="tx1"/>
            </a:solidFill>
          </a:endParaRPr>
        </a:p>
      </xdr:txBody>
    </xdr:sp>
    <xdr:clientData/>
  </xdr:twoCellAnchor>
  <xdr:twoCellAnchor>
    <xdr:from>
      <xdr:col>6</xdr:col>
      <xdr:colOff>3369733</xdr:colOff>
      <xdr:row>91</xdr:row>
      <xdr:rowOff>317499</xdr:rowOff>
    </xdr:from>
    <xdr:to>
      <xdr:col>7</xdr:col>
      <xdr:colOff>677862</xdr:colOff>
      <xdr:row>92</xdr:row>
      <xdr:rowOff>297391</xdr:rowOff>
    </xdr:to>
    <xdr:cxnSp macro="">
      <xdr:nvCxnSpPr>
        <xdr:cNvPr id="67" name="Straight Arrow Connector 66">
          <a:extLst>
            <a:ext uri="{FF2B5EF4-FFF2-40B4-BE49-F238E27FC236}">
              <a16:creationId xmlns:a16="http://schemas.microsoft.com/office/drawing/2014/main" id="{369062C2-3A66-4C5C-8037-D0E719EEF5D5}"/>
            </a:ext>
          </a:extLst>
        </xdr:cNvPr>
        <xdr:cNvCxnSpPr>
          <a:stCxn id="66" idx="0"/>
        </xdr:cNvCxnSpPr>
      </xdr:nvCxnSpPr>
      <xdr:spPr>
        <a:xfrm flipH="1" flipV="1">
          <a:off x="10926233" y="36914666"/>
          <a:ext cx="1647296" cy="572558"/>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1050076</xdr:colOff>
      <xdr:row>98</xdr:row>
      <xdr:rowOff>91864</xdr:rowOff>
    </xdr:from>
    <xdr:to>
      <xdr:col>10</xdr:col>
      <xdr:colOff>1471294</xdr:colOff>
      <xdr:row>101</xdr:row>
      <xdr:rowOff>990600</xdr:rowOff>
    </xdr:to>
    <xdr:sp macro="" textlink="">
      <xdr:nvSpPr>
        <xdr:cNvPr id="68" name="Rectangle 67">
          <a:extLst>
            <a:ext uri="{FF2B5EF4-FFF2-40B4-BE49-F238E27FC236}">
              <a16:creationId xmlns:a16="http://schemas.microsoft.com/office/drawing/2014/main" id="{9E2CF3A8-4E7C-43B2-AD9C-C49DB953E86C}"/>
            </a:ext>
          </a:extLst>
        </xdr:cNvPr>
        <xdr:cNvSpPr/>
      </xdr:nvSpPr>
      <xdr:spPr>
        <a:xfrm>
          <a:off x="14918476" y="42039964"/>
          <a:ext cx="5374218" cy="2333836"/>
        </a:xfrm>
        <a:prstGeom prst="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  Table 3a: The purpose of Section 3 is to be able to compare the proposed parcel lighting (which doesn't meet code) to the lighting that is currently on the parcel to determine if the proposed plan brings the parcel closer to compliance. This table will include all the lighting that is on the current parcel, including the fixtures that are existing and going to remain. This means that fixtures labeled as "Existing to Remain" in Table 2a (above) should also be in this table. </a:t>
          </a:r>
        </a:p>
        <a:p>
          <a:pPr algn="l"/>
          <a:r>
            <a:rPr lang="en-US" sz="1600" b="1" kern="1200" baseline="0">
              <a:solidFill>
                <a:schemeClr val="tx1"/>
              </a:solidFill>
            </a:rPr>
            <a:t>*Table 3a should only be filled out if Table 2b tells you to.</a:t>
          </a:r>
          <a:endParaRPr lang="en-US" sz="1600" b="1" kern="1200">
            <a:solidFill>
              <a:schemeClr val="tx1"/>
            </a:solidFill>
          </a:endParaRPr>
        </a:p>
      </xdr:txBody>
    </xdr:sp>
    <xdr:clientData/>
  </xdr:twoCellAnchor>
  <xdr:twoCellAnchor>
    <xdr:from>
      <xdr:col>8</xdr:col>
      <xdr:colOff>560916</xdr:colOff>
      <xdr:row>97</xdr:row>
      <xdr:rowOff>42334</xdr:rowOff>
    </xdr:from>
    <xdr:to>
      <xdr:col>8</xdr:col>
      <xdr:colOff>1207558</xdr:colOff>
      <xdr:row>98</xdr:row>
      <xdr:rowOff>467783</xdr:rowOff>
    </xdr:to>
    <xdr:sp macro="" textlink="">
      <xdr:nvSpPr>
        <xdr:cNvPr id="69" name="Oval 68">
          <a:extLst>
            <a:ext uri="{FF2B5EF4-FFF2-40B4-BE49-F238E27FC236}">
              <a16:creationId xmlns:a16="http://schemas.microsoft.com/office/drawing/2014/main" id="{FE7026E0-40B4-43E0-8B3E-91AC46F391AB}"/>
            </a:ext>
          </a:extLst>
        </xdr:cNvPr>
        <xdr:cNvSpPr/>
      </xdr:nvSpPr>
      <xdr:spPr>
        <a:xfrm>
          <a:off x="13821833" y="40375417"/>
          <a:ext cx="646642" cy="626533"/>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4000" b="1" kern="1200"/>
            <a:t>8</a:t>
          </a:r>
        </a:p>
      </xdr:txBody>
    </xdr:sp>
    <xdr:clientData/>
  </xdr:twoCellAnchor>
  <xdr:twoCellAnchor>
    <xdr:from>
      <xdr:col>2</xdr:col>
      <xdr:colOff>1026583</xdr:colOff>
      <xdr:row>101</xdr:row>
      <xdr:rowOff>177800</xdr:rowOff>
    </xdr:from>
    <xdr:to>
      <xdr:col>4</xdr:col>
      <xdr:colOff>1133051</xdr:colOff>
      <xdr:row>101</xdr:row>
      <xdr:rowOff>1320800</xdr:rowOff>
    </xdr:to>
    <xdr:sp macro="" textlink="">
      <xdr:nvSpPr>
        <xdr:cNvPr id="70" name="Rectangle 69">
          <a:extLst>
            <a:ext uri="{FF2B5EF4-FFF2-40B4-BE49-F238E27FC236}">
              <a16:creationId xmlns:a16="http://schemas.microsoft.com/office/drawing/2014/main" id="{44DC6CD0-5DCD-4C3C-953D-665310F09768}"/>
            </a:ext>
          </a:extLst>
        </xdr:cNvPr>
        <xdr:cNvSpPr/>
      </xdr:nvSpPr>
      <xdr:spPr>
        <a:xfrm>
          <a:off x="2004483" y="43815000"/>
          <a:ext cx="4221268" cy="1143000"/>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Remaining Light 1 and 2 are in this table as well as Table 2a, since they are on both the existing parcel and the proposed parcel. The information should be consistent in both tables.</a:t>
          </a:r>
          <a:endParaRPr lang="en-US" sz="1600" kern="1200">
            <a:solidFill>
              <a:schemeClr val="tx1"/>
            </a:solidFill>
          </a:endParaRPr>
        </a:p>
      </xdr:txBody>
    </xdr:sp>
    <xdr:clientData/>
  </xdr:twoCellAnchor>
  <xdr:twoCellAnchor>
    <xdr:from>
      <xdr:col>2</xdr:col>
      <xdr:colOff>1879600</xdr:colOff>
      <xdr:row>101</xdr:row>
      <xdr:rowOff>1318260</xdr:rowOff>
    </xdr:from>
    <xdr:to>
      <xdr:col>3</xdr:col>
      <xdr:colOff>1091247</xdr:colOff>
      <xdr:row>102</xdr:row>
      <xdr:rowOff>393700</xdr:rowOff>
    </xdr:to>
    <xdr:cxnSp macro="">
      <xdr:nvCxnSpPr>
        <xdr:cNvPr id="71" name="Straight Arrow Connector 70">
          <a:extLst>
            <a:ext uri="{FF2B5EF4-FFF2-40B4-BE49-F238E27FC236}">
              <a16:creationId xmlns:a16="http://schemas.microsoft.com/office/drawing/2014/main" id="{DC2675B7-B112-415F-A63E-7AD032A6024A}"/>
            </a:ext>
          </a:extLst>
        </xdr:cNvPr>
        <xdr:cNvCxnSpPr>
          <a:stCxn id="70" idx="2"/>
        </xdr:cNvCxnSpPr>
      </xdr:nvCxnSpPr>
      <xdr:spPr>
        <a:xfrm flipH="1">
          <a:off x="2857500" y="44955460"/>
          <a:ext cx="1256347" cy="510540"/>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1449917</xdr:colOff>
      <xdr:row>111</xdr:row>
      <xdr:rowOff>88902</xdr:rowOff>
    </xdr:from>
    <xdr:to>
      <xdr:col>4</xdr:col>
      <xdr:colOff>1330325</xdr:colOff>
      <xdr:row>115</xdr:row>
      <xdr:rowOff>198968</xdr:rowOff>
    </xdr:to>
    <xdr:sp macro="" textlink="">
      <xdr:nvSpPr>
        <xdr:cNvPr id="72" name="Rectangle 71">
          <a:extLst>
            <a:ext uri="{FF2B5EF4-FFF2-40B4-BE49-F238E27FC236}">
              <a16:creationId xmlns:a16="http://schemas.microsoft.com/office/drawing/2014/main" id="{818CD355-22E0-436A-84AE-5119818E87A4}"/>
            </a:ext>
          </a:extLst>
        </xdr:cNvPr>
        <xdr:cNvSpPr/>
      </xdr:nvSpPr>
      <xdr:spPr>
        <a:xfrm>
          <a:off x="1799167" y="47565735"/>
          <a:ext cx="4007908" cy="914400"/>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Removing Fixture 1 and 2 are lighting fixtures that are on the current parcel but going to be removed on the proposed parcel.</a:t>
          </a:r>
          <a:endParaRPr lang="en-US" sz="1600" kern="1200">
            <a:solidFill>
              <a:schemeClr val="tx1"/>
            </a:solidFill>
          </a:endParaRPr>
        </a:p>
      </xdr:txBody>
    </xdr:sp>
    <xdr:clientData/>
  </xdr:twoCellAnchor>
  <xdr:twoCellAnchor>
    <xdr:from>
      <xdr:col>2</xdr:col>
      <xdr:colOff>1926166</xdr:colOff>
      <xdr:row>106</xdr:row>
      <xdr:rowOff>137584</xdr:rowOff>
    </xdr:from>
    <xdr:to>
      <xdr:col>3</xdr:col>
      <xdr:colOff>1566333</xdr:colOff>
      <xdr:row>111</xdr:row>
      <xdr:rowOff>69852</xdr:rowOff>
    </xdr:to>
    <xdr:cxnSp macro="">
      <xdr:nvCxnSpPr>
        <xdr:cNvPr id="73" name="Straight Arrow Connector 72">
          <a:extLst>
            <a:ext uri="{FF2B5EF4-FFF2-40B4-BE49-F238E27FC236}">
              <a16:creationId xmlns:a16="http://schemas.microsoft.com/office/drawing/2014/main" id="{D7AEC0BA-C708-46EA-9C27-69AC268BDABE}"/>
            </a:ext>
          </a:extLst>
        </xdr:cNvPr>
        <xdr:cNvCxnSpPr/>
      </xdr:nvCxnSpPr>
      <xdr:spPr>
        <a:xfrm flipH="1" flipV="1">
          <a:off x="2275416" y="45402501"/>
          <a:ext cx="1693334" cy="937684"/>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731308</xdr:colOff>
      <xdr:row>116</xdr:row>
      <xdr:rowOff>283635</xdr:rowOff>
    </xdr:from>
    <xdr:to>
      <xdr:col>10</xdr:col>
      <xdr:colOff>1817159</xdr:colOff>
      <xdr:row>119</xdr:row>
      <xdr:rowOff>565151</xdr:rowOff>
    </xdr:to>
    <xdr:sp macro="" textlink="">
      <xdr:nvSpPr>
        <xdr:cNvPr id="74" name="Rectangle 73">
          <a:extLst>
            <a:ext uri="{FF2B5EF4-FFF2-40B4-BE49-F238E27FC236}">
              <a16:creationId xmlns:a16="http://schemas.microsoft.com/office/drawing/2014/main" id="{8E4F3D71-FA26-44D8-A154-146BC5854E26}"/>
            </a:ext>
          </a:extLst>
        </xdr:cNvPr>
        <xdr:cNvSpPr/>
      </xdr:nvSpPr>
      <xdr:spPr>
        <a:xfrm>
          <a:off x="16746008" y="50372435"/>
          <a:ext cx="3930651" cy="1348316"/>
        </a:xfrm>
        <a:prstGeom prst="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  Table 3b: Compares the proposed parcel analysis in Table 2b to the parcel analysis for the existing parcel to determine if the proposed lighting plan brings the parcel closer to whole parcel compliance.  </a:t>
          </a:r>
          <a:endParaRPr lang="en-US" sz="1600" kern="1200">
            <a:solidFill>
              <a:schemeClr val="tx1"/>
            </a:solidFill>
          </a:endParaRPr>
        </a:p>
      </xdr:txBody>
    </xdr:sp>
    <xdr:clientData/>
  </xdr:twoCellAnchor>
  <xdr:twoCellAnchor>
    <xdr:from>
      <xdr:col>9</xdr:col>
      <xdr:colOff>190500</xdr:colOff>
      <xdr:row>116</xdr:row>
      <xdr:rowOff>46567</xdr:rowOff>
    </xdr:from>
    <xdr:to>
      <xdr:col>9</xdr:col>
      <xdr:colOff>858308</xdr:colOff>
      <xdr:row>117</xdr:row>
      <xdr:rowOff>63500</xdr:rowOff>
    </xdr:to>
    <xdr:sp macro="" textlink="">
      <xdr:nvSpPr>
        <xdr:cNvPr id="75" name="Oval 74">
          <a:extLst>
            <a:ext uri="{FF2B5EF4-FFF2-40B4-BE49-F238E27FC236}">
              <a16:creationId xmlns:a16="http://schemas.microsoft.com/office/drawing/2014/main" id="{E917DB96-BB26-4F43-8FD4-BB4D67F01A2B}"/>
            </a:ext>
          </a:extLst>
        </xdr:cNvPr>
        <xdr:cNvSpPr/>
      </xdr:nvSpPr>
      <xdr:spPr>
        <a:xfrm>
          <a:off x="16205200" y="50135367"/>
          <a:ext cx="667808" cy="588433"/>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4000" b="1" kern="1200"/>
            <a:t>9</a:t>
          </a:r>
        </a:p>
      </xdr:txBody>
    </xdr:sp>
    <xdr:clientData/>
  </xdr:twoCellAnchor>
  <xdr:twoCellAnchor>
    <xdr:from>
      <xdr:col>1</xdr:col>
      <xdr:colOff>285750</xdr:colOff>
      <xdr:row>102</xdr:row>
      <xdr:rowOff>560916</xdr:rowOff>
    </xdr:from>
    <xdr:to>
      <xdr:col>2</xdr:col>
      <xdr:colOff>1979083</xdr:colOff>
      <xdr:row>105</xdr:row>
      <xdr:rowOff>42333</xdr:rowOff>
    </xdr:to>
    <xdr:sp macro="" textlink="">
      <xdr:nvSpPr>
        <xdr:cNvPr id="78" name="Rectangle 77">
          <a:extLst>
            <a:ext uri="{FF2B5EF4-FFF2-40B4-BE49-F238E27FC236}">
              <a16:creationId xmlns:a16="http://schemas.microsoft.com/office/drawing/2014/main" id="{1557BBB4-B73B-4F82-8B44-6E531C1E4253}"/>
            </a:ext>
          </a:extLst>
        </xdr:cNvPr>
        <xdr:cNvSpPr/>
      </xdr:nvSpPr>
      <xdr:spPr>
        <a:xfrm>
          <a:off x="285750" y="45540083"/>
          <a:ext cx="2042583" cy="666750"/>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clientData/>
  </xdr:twoCellAnchor>
  <xdr:twoCellAnchor>
    <xdr:from>
      <xdr:col>9</xdr:col>
      <xdr:colOff>501650</xdr:colOff>
      <xdr:row>120</xdr:row>
      <xdr:rowOff>10585</xdr:rowOff>
    </xdr:from>
    <xdr:to>
      <xdr:col>11</xdr:col>
      <xdr:colOff>429683</xdr:colOff>
      <xdr:row>121</xdr:row>
      <xdr:rowOff>939800</xdr:rowOff>
    </xdr:to>
    <xdr:sp macro="" textlink="">
      <xdr:nvSpPr>
        <xdr:cNvPr id="12" name="Rectangle 11">
          <a:extLst>
            <a:ext uri="{FF2B5EF4-FFF2-40B4-BE49-F238E27FC236}">
              <a16:creationId xmlns:a16="http://schemas.microsoft.com/office/drawing/2014/main" id="{A46CA5D0-1C9D-427A-AB35-46F4AC955F3B}"/>
            </a:ext>
          </a:extLst>
        </xdr:cNvPr>
        <xdr:cNvSpPr/>
      </xdr:nvSpPr>
      <xdr:spPr>
        <a:xfrm>
          <a:off x="16516350" y="51953585"/>
          <a:ext cx="4766733" cy="1132415"/>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This is the important row on this table because it is the row that failed in Table 2b. Because the proposed lighting plan brings the parcel closer to compliance, this passes.</a:t>
          </a:r>
          <a:endParaRPr lang="en-US" sz="1600" kern="1200">
            <a:solidFill>
              <a:schemeClr val="tx1"/>
            </a:solidFill>
          </a:endParaRPr>
        </a:p>
      </xdr:txBody>
    </xdr:sp>
    <xdr:clientData/>
  </xdr:twoCellAnchor>
  <xdr:twoCellAnchor>
    <xdr:from>
      <xdr:col>7</xdr:col>
      <xdr:colOff>635000</xdr:colOff>
      <xdr:row>119</xdr:row>
      <xdr:rowOff>486834</xdr:rowOff>
    </xdr:from>
    <xdr:to>
      <xdr:col>9</xdr:col>
      <xdr:colOff>501650</xdr:colOff>
      <xdr:row>121</xdr:row>
      <xdr:rowOff>373593</xdr:rowOff>
    </xdr:to>
    <xdr:cxnSp macro="">
      <xdr:nvCxnSpPr>
        <xdr:cNvPr id="17" name="Straight Arrow Connector 16">
          <a:extLst>
            <a:ext uri="{FF2B5EF4-FFF2-40B4-BE49-F238E27FC236}">
              <a16:creationId xmlns:a16="http://schemas.microsoft.com/office/drawing/2014/main" id="{9656D7F4-E663-4201-826A-F5F366B2EDAD}"/>
            </a:ext>
          </a:extLst>
        </xdr:cNvPr>
        <xdr:cNvCxnSpPr>
          <a:stCxn id="12" idx="1"/>
        </xdr:cNvCxnSpPr>
      </xdr:nvCxnSpPr>
      <xdr:spPr>
        <a:xfrm flipH="1" flipV="1">
          <a:off x="13169900" y="51642434"/>
          <a:ext cx="3346450" cy="877359"/>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920751</xdr:colOff>
      <xdr:row>32</xdr:row>
      <xdr:rowOff>198965</xdr:rowOff>
    </xdr:from>
    <xdr:to>
      <xdr:col>14</xdr:col>
      <xdr:colOff>1346201</xdr:colOff>
      <xdr:row>33</xdr:row>
      <xdr:rowOff>990600</xdr:rowOff>
    </xdr:to>
    <xdr:sp macro="" textlink="">
      <xdr:nvSpPr>
        <xdr:cNvPr id="27" name="Rectangle 26">
          <a:extLst>
            <a:ext uri="{FF2B5EF4-FFF2-40B4-BE49-F238E27FC236}">
              <a16:creationId xmlns:a16="http://schemas.microsoft.com/office/drawing/2014/main" id="{8009B58B-53DC-4AEB-9BE0-0E8E05CEAEF5}"/>
            </a:ext>
          </a:extLst>
        </xdr:cNvPr>
        <xdr:cNvSpPr/>
      </xdr:nvSpPr>
      <xdr:spPr>
        <a:xfrm>
          <a:off x="23475951" y="13013265"/>
          <a:ext cx="5010150" cy="1375835"/>
        </a:xfrm>
        <a:prstGeom prst="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  Overall Pass/Fail: This box tells you whether your proposal passes or fails. You may submit a proposal that fails if the scope does not trigger entire property compliance (as it says in the note). Otherwise, this box will give you overall explanations as to why the parcel fails. </a:t>
          </a:r>
          <a:endParaRPr lang="en-US" sz="1600" kern="1200">
            <a:solidFill>
              <a:schemeClr val="tx1"/>
            </a:solidFill>
          </a:endParaRPr>
        </a:p>
      </xdr:txBody>
    </xdr:sp>
    <xdr:clientData/>
  </xdr:twoCellAnchor>
  <xdr:twoCellAnchor>
    <xdr:from>
      <xdr:col>12</xdr:col>
      <xdr:colOff>50799</xdr:colOff>
      <xdr:row>31</xdr:row>
      <xdr:rowOff>317497</xdr:rowOff>
    </xdr:from>
    <xdr:to>
      <xdr:col>12</xdr:col>
      <xdr:colOff>1068914</xdr:colOff>
      <xdr:row>33</xdr:row>
      <xdr:rowOff>95246</xdr:rowOff>
    </xdr:to>
    <xdr:sp macro="" textlink="">
      <xdr:nvSpPr>
        <xdr:cNvPr id="34" name="Oval 33">
          <a:extLst>
            <a:ext uri="{FF2B5EF4-FFF2-40B4-BE49-F238E27FC236}">
              <a16:creationId xmlns:a16="http://schemas.microsoft.com/office/drawing/2014/main" id="{55315956-17EC-4A47-BF70-F37101204422}"/>
            </a:ext>
          </a:extLst>
        </xdr:cNvPr>
        <xdr:cNvSpPr/>
      </xdr:nvSpPr>
      <xdr:spPr>
        <a:xfrm>
          <a:off x="22605999" y="12547597"/>
          <a:ext cx="1018115" cy="946149"/>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4000" b="1" kern="1200"/>
            <a:t>11</a:t>
          </a:r>
        </a:p>
      </xdr:txBody>
    </xdr:sp>
    <xdr:clientData/>
  </xdr:twoCellAnchor>
  <xdr:twoCellAnchor>
    <xdr:from>
      <xdr:col>8</xdr:col>
      <xdr:colOff>139701</xdr:colOff>
      <xdr:row>125</xdr:row>
      <xdr:rowOff>59268</xdr:rowOff>
    </xdr:from>
    <xdr:to>
      <xdr:col>9</xdr:col>
      <xdr:colOff>1587500</xdr:colOff>
      <xdr:row>128</xdr:row>
      <xdr:rowOff>101600</xdr:rowOff>
    </xdr:to>
    <xdr:sp macro="" textlink="">
      <xdr:nvSpPr>
        <xdr:cNvPr id="54" name="Rectangle 53">
          <a:extLst>
            <a:ext uri="{FF2B5EF4-FFF2-40B4-BE49-F238E27FC236}">
              <a16:creationId xmlns:a16="http://schemas.microsoft.com/office/drawing/2014/main" id="{BFF3EDF2-9762-421B-AFD2-B4C18E22B96B}"/>
            </a:ext>
          </a:extLst>
        </xdr:cNvPr>
        <xdr:cNvSpPr/>
      </xdr:nvSpPr>
      <xdr:spPr>
        <a:xfrm>
          <a:off x="13754101" y="53348468"/>
          <a:ext cx="3517899" cy="613832"/>
        </a:xfrm>
        <a:prstGeom prst="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  Table 3c: Analyses the existing parcel's use of each extra lumen allowance type. </a:t>
          </a:r>
          <a:endParaRPr lang="en-US" sz="1600" kern="1200">
            <a:solidFill>
              <a:schemeClr val="tx1"/>
            </a:solidFill>
          </a:endParaRPr>
        </a:p>
      </xdr:txBody>
    </xdr:sp>
    <xdr:clientData/>
  </xdr:twoCellAnchor>
  <xdr:twoCellAnchor>
    <xdr:from>
      <xdr:col>7</xdr:col>
      <xdr:colOff>622300</xdr:colOff>
      <xdr:row>124</xdr:row>
      <xdr:rowOff>50800</xdr:rowOff>
    </xdr:from>
    <xdr:to>
      <xdr:col>8</xdr:col>
      <xdr:colOff>275166</xdr:colOff>
      <xdr:row>127</xdr:row>
      <xdr:rowOff>196849</xdr:rowOff>
    </xdr:to>
    <xdr:sp macro="" textlink="">
      <xdr:nvSpPr>
        <xdr:cNvPr id="55" name="Oval 54">
          <a:extLst>
            <a:ext uri="{FF2B5EF4-FFF2-40B4-BE49-F238E27FC236}">
              <a16:creationId xmlns:a16="http://schemas.microsoft.com/office/drawing/2014/main" id="{E9CE4E76-BA20-41B7-AB12-A7C0D8EA2E73}"/>
            </a:ext>
          </a:extLst>
        </xdr:cNvPr>
        <xdr:cNvSpPr/>
      </xdr:nvSpPr>
      <xdr:spPr>
        <a:xfrm>
          <a:off x="13157200" y="53581300"/>
          <a:ext cx="1024466" cy="946149"/>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4000" b="1" kern="1200"/>
            <a:t>10</a:t>
          </a:r>
        </a:p>
      </xdr:txBody>
    </xdr:sp>
    <xdr:clientData/>
  </xdr:twoCellAnchor>
  <xdr:twoCellAnchor>
    <xdr:from>
      <xdr:col>12</xdr:col>
      <xdr:colOff>1961090</xdr:colOff>
      <xdr:row>70</xdr:row>
      <xdr:rowOff>351366</xdr:rowOff>
    </xdr:from>
    <xdr:to>
      <xdr:col>14</xdr:col>
      <xdr:colOff>38099</xdr:colOff>
      <xdr:row>70</xdr:row>
      <xdr:rowOff>1189566</xdr:rowOff>
    </xdr:to>
    <xdr:sp macro="" textlink="">
      <xdr:nvSpPr>
        <xdr:cNvPr id="45" name="Rectangle 44">
          <a:extLst>
            <a:ext uri="{FF2B5EF4-FFF2-40B4-BE49-F238E27FC236}">
              <a16:creationId xmlns:a16="http://schemas.microsoft.com/office/drawing/2014/main" id="{FCAC32CC-CCFA-4E72-A6F0-CAB6744842E0}"/>
            </a:ext>
          </a:extLst>
        </xdr:cNvPr>
        <xdr:cNvSpPr/>
      </xdr:nvSpPr>
      <xdr:spPr>
        <a:xfrm>
          <a:off x="24351190" y="31186966"/>
          <a:ext cx="2661709" cy="838200"/>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a:solidFill>
                <a:schemeClr val="tx1"/>
              </a:solidFill>
            </a:rPr>
            <a:t>Applicants must fill out all columns for the spreadsheet</a:t>
          </a:r>
          <a:r>
            <a:rPr lang="en-US" sz="1600" kern="1200" baseline="0">
              <a:solidFill>
                <a:schemeClr val="tx1"/>
              </a:solidFill>
            </a:rPr>
            <a:t> to evaluate PASS/FAIL.</a:t>
          </a:r>
          <a:endParaRPr lang="en-US" sz="1600" kern="1200">
            <a:solidFill>
              <a:schemeClr val="tx1"/>
            </a:solidFill>
          </a:endParaRPr>
        </a:p>
      </xdr:txBody>
    </xdr:sp>
    <xdr:clientData/>
  </xdr:twoCellAnchor>
  <xdr:twoCellAnchor>
    <xdr:from>
      <xdr:col>13</xdr:col>
      <xdr:colOff>853545</xdr:colOff>
      <xdr:row>63</xdr:row>
      <xdr:rowOff>165100</xdr:rowOff>
    </xdr:from>
    <xdr:to>
      <xdr:col>13</xdr:col>
      <xdr:colOff>1079500</xdr:colOff>
      <xdr:row>70</xdr:row>
      <xdr:rowOff>351366</xdr:rowOff>
    </xdr:to>
    <xdr:cxnSp macro="">
      <xdr:nvCxnSpPr>
        <xdr:cNvPr id="46" name="Straight Arrow Connector 45">
          <a:extLst>
            <a:ext uri="{FF2B5EF4-FFF2-40B4-BE49-F238E27FC236}">
              <a16:creationId xmlns:a16="http://schemas.microsoft.com/office/drawing/2014/main" id="{AA4753A4-6D7F-44F6-B616-10D3F70F6EB8}"/>
            </a:ext>
          </a:extLst>
        </xdr:cNvPr>
        <xdr:cNvCxnSpPr>
          <a:stCxn id="45" idx="0"/>
        </xdr:cNvCxnSpPr>
      </xdr:nvCxnSpPr>
      <xdr:spPr>
        <a:xfrm flipV="1">
          <a:off x="25682045" y="29667200"/>
          <a:ext cx="225955" cy="1519766"/>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566360</xdr:colOff>
      <xdr:row>1</xdr:row>
      <xdr:rowOff>154643</xdr:rowOff>
    </xdr:from>
    <xdr:to>
      <xdr:col>6</xdr:col>
      <xdr:colOff>1236012</xdr:colOff>
      <xdr:row>4</xdr:row>
      <xdr:rowOff>400610</xdr:rowOff>
    </xdr:to>
    <xdr:pic>
      <xdr:nvPicPr>
        <xdr:cNvPr id="5" name="Picture 4">
          <a:extLst>
            <a:ext uri="{FF2B5EF4-FFF2-40B4-BE49-F238E27FC236}">
              <a16:creationId xmlns:a16="http://schemas.microsoft.com/office/drawing/2014/main" id="{60394989-DA23-42D1-B035-F2B0C0768BED}"/>
            </a:ext>
          </a:extLst>
        </xdr:cNvPr>
        <xdr:cNvPicPr>
          <a:picLocks noChangeAspect="1"/>
        </xdr:cNvPicPr>
      </xdr:nvPicPr>
      <xdr:blipFill>
        <a:blip xmlns:r="http://schemas.openxmlformats.org/officeDocument/2006/relationships" r:embed="rId1"/>
        <a:stretch>
          <a:fillRect/>
        </a:stretch>
      </xdr:blipFill>
      <xdr:spPr>
        <a:xfrm>
          <a:off x="7170360" y="567393"/>
          <a:ext cx="2075542" cy="823817"/>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Sophie Varga" id="{6656FA6F-D509-4030-BF3D-B0404CBF0F6B}" userId="S::sophie.varga@aspen.gov::1623d771-7429-4aa9-9eee-4d47d50a7b6b"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A8979A15-C6B2-4513-A789-543C31E0AAA9}" name="Parcel_Info21" displayName="Parcel_Info21" ref="C26:E39" totalsRowShown="0" headerRowDxfId="465" dataDxfId="463" headerRowBorderDxfId="464" tableBorderDxfId="462" totalsRowBorderDxfId="461">
  <autoFilter ref="C26:E39" xr:uid="{61734562-B2AF-4D71-BCBA-C7A0BB361CA6}"/>
  <tableColumns count="3">
    <tableColumn id="1" xr3:uid="{5882AE6C-854B-41CC-9C8C-F30FDA8033EF}" name="Description" dataDxfId="460"/>
    <tableColumn id="3" xr3:uid="{A862E4AD-0E85-4515-8F37-0C9F29FC5CC7}" name="Data" dataDxfId="459"/>
    <tableColumn id="4" xr3:uid="{3D80726E-E5F7-49BD-98B3-F09B4DB1C21F}" name="Units" dataDxfId="458"/>
  </tableColumns>
  <tableStyleInfo name="TableStyleLight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18BFCDDB-F8CC-4DCD-B001-CE42DA65A66E}" name="Lumen_Analysis20" displayName="Lumen_Analysis20" ref="C105:I108" totalsRowShown="0" headerRowDxfId="357" dataDxfId="355" headerRowBorderDxfId="356" tableBorderDxfId="354" totalsRowBorderDxfId="353">
  <autoFilter ref="C105:I108" xr:uid="{18BFCDDB-F8CC-4DCD-B001-CE42DA65A66E}"/>
  <tableColumns count="7">
    <tableColumn id="1" xr3:uid="{F767EB21-6DEF-48DD-8DED-C4EFB6651280}" name="Description" dataDxfId="352"/>
    <tableColumn id="3" xr3:uid="{0CE1136D-F4EE-42E4-BCA8-BE0373405240}" name="Existing Parcel Analysis" dataDxfId="351"/>
    <tableColumn id="4" xr3:uid="{18797046-CF78-4EBE-8CAE-1E1000F8385D}" name="Unit" dataDxfId="350"/>
    <tableColumn id="2" xr3:uid="{49D7FEB4-EB86-4B16-9BC7-D7E6B305D310}" name="Proposed Parcel Analysis" dataDxfId="349">
      <calculatedColumnFormula>D72</calculatedColumnFormula>
    </tableColumn>
    <tableColumn id="7" xr3:uid="{8DD14B93-8779-472E-A8E0-70FECFBDC1E6}" name="Units" dataDxfId="348"/>
    <tableColumn id="5" xr3:uid="{B4BD0F80-F98F-40D5-9736-2D2E337E413D}" name="PASS/FAIL" dataDxfId="347">
      <calculatedColumnFormula>IF(F72="PASS","PASS",IF(Lumen_Analysis20[[#This Row],[Proposed Parcel Analysis]]&gt;Lumen_Analysis20[[#This Row],[Existing Parcel Analysis]],"FAIL","ACCEPTED"))</calculatedColumnFormula>
    </tableColumn>
    <tableColumn id="6" xr3:uid="{4B981184-D8A4-43B3-8EB3-CA0596717227}" name="Notes" dataDxfId="346">
      <calculatedColumnFormula>IF(Lumen_Analysis20[[#This Row],[PASS/FAIL]]="FAIL","Proposed cannot exceed existing",IF(Lumen_Analysis20[[#This Row],[PASS/FAIL]]="PASS","Proposed parcel meets code.",""))</calculatedColumnFormula>
    </tableColumn>
  </tableColumns>
  <tableStyleInfo name="TableStyleLight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0B6F843-5F87-441D-B683-37AA8C2374C3}" name="Proposed_analysis" displayName="Proposed_analysis" ref="A5:U56" totalsRowShown="0" headerRowDxfId="345">
  <autoFilter ref="A5:U56" xr:uid="{10B6F843-5F87-441D-B683-37AA8C2374C3}"/>
  <tableColumns count="21">
    <tableColumn id="1" xr3:uid="{3258CA64-4E9F-4221-96A1-241C34381930}" name="Fixture Type">
      <calculatedColumnFormula>'Res Compliance Calculator'!D52</calculatedColumnFormula>
    </tableColumn>
    <tableColumn id="2" xr3:uid="{834C73B3-43B0-4350-B7AC-B190C54523D1}" name="Fixture to remain?">
      <calculatedColumnFormula>'Res Compliance Calculator'!E52</calculatedColumnFormula>
    </tableColumn>
    <tableColumn id="20" xr3:uid="{C3C2B5C6-B0B8-48B9-A2D6-457201E61BD7}" name="Fixture Label (as shown on lighting plan)">
      <calculatedColumnFormula>'Res Compliance Calculator'!C52</calculatedColumnFormula>
    </tableColumn>
    <tableColumn id="22" xr3:uid="{0CC22951-DDD1-4942-8798-442BEBBAF629}" name="Mounting Type Fixture/Application" dataDxfId="344">
      <calculatedColumnFormula>'Res Compliance Calculator'!J52</calculatedColumnFormula>
    </tableColumn>
    <tableColumn id="3" xr3:uid="{ED5C94E2-FE96-420C-90B8-97773B2396AD}" name="Unshielded / Partially" dataDxfId="343">
      <calculatedColumnFormula>IF(AND(OR(A6='Res - Ordinance Values'!$B$24,A6='Res - Ordinance Values'!$B$23,A6='Res - Ordinance Values'!$B$26),OR(D6='Res - Ordinance Values'!$B$10,AND(OR(D6='Res - Ordinance Values'!$B$11,D6='Res - Ordinance Values'!$B$17),'Res Compliance Calculator'!$D$28&lt;&gt;"Multi-Family"),D6='Res - Ordinance Values'!$B$12,D6='Res - Ordinance Values'!$B$16,D6='Res - Ordinance Values'!$B$19)),"Unapproved use of unshielded or partially shielded fixtures, ","")</calculatedColumnFormula>
    </tableColumn>
    <tableColumn id="4" xr3:uid="{28144B41-F369-442E-890F-1A095307B784}" name="Meets max fixture lumen allowace?" dataDxfId="342">
      <calculatedColumnFormula array="1">_xlfn.IFNA(IF('Res Compliance Calculator'!D52='Res - Ordinance Values'!$B$27,"",(IF('Res Compliance Calculator'!$F52&gt;VLOOKUP('Res Compliance Calculator'!$D52,'Res - Ordinance Values'!$B$23:$F$28,_xlfn.IFS('Res Compliance Calculator'!$D$29="LZ1",3,'Res Compliance Calculator'!$D$29="LZ2",4),FALSE),"Lumens exceed limit,",""))),"")</calculatedColumnFormula>
    </tableColumn>
    <tableColumn id="5" xr3:uid="{78221CA6-0016-4C67-ABB3-4D4A097DBA1E}" name="Quantity"/>
    <tableColumn id="6" xr3:uid="{C15D0CC8-F315-47DE-975A-47C377759E1D}" name="cct too high" dataDxfId="341">
      <calculatedColumnFormula>IF('Res Compliance Calculator'!I52="","",IF('Res Compliance Calculator'!I52&gt;3000,"CCT too high,",""))</calculatedColumnFormula>
    </tableColumn>
    <tableColumn id="7" xr3:uid="{E4B00BDA-9E81-4E4A-8F3F-422BFF479EDF}" name="cct too low" dataDxfId="340">
      <calculatedColumnFormula>IF('Res Compliance Calculator'!I52="","",IF('Res Compliance Calculator'!I52&lt;2700,"CCT too low,",""))</calculatedColumnFormula>
    </tableColumn>
    <tableColumn id="8" xr3:uid="{CB9317E6-18DF-469F-9C3F-96ADEA69C40A}" name="Mounting Type Fixture/Application2"/>
    <tableColumn id="9" xr3:uid="{B19E5DE6-7C11-49C6-91C2-EE9BD60AFC22}" name="Maximum Mounting Height (ft)"/>
    <tableColumn id="10" xr3:uid="{D8491618-C8A4-4910-919F-DA08C137BA47}" name="Meets mounting height?">
      <calculatedColumnFormula>IF('Res Compliance Calculator'!$L52&lt;='Res Compliance Calculator'!$K52,"","Exceeds allowed mounting height,")</calculatedColumnFormula>
    </tableColumn>
    <tableColumn id="11" xr3:uid="{81F0EFC3-6327-4ECF-BD86-B80024597960}" name="BUG Ratings: Backlit"/>
    <tableColumn id="12" xr3:uid="{42666682-BF37-4CD5-83E1-C8580D7A4284}" name="BUG Ratings: Uplight"/>
    <tableColumn id="13" xr3:uid="{EF35FB17-20A8-4E54-92D8-FE90F6F45A83}" name="BUG Ratings: Glare"/>
    <tableColumn id="14" xr3:uid="{5C7C54DE-0BC3-4782-B280-D77099C91D12}" name="PASS/ FAIL"/>
    <tableColumn id="15" xr3:uid="{965889B2-893C-4CE3-B889-447F2523845C}" name="Errors"/>
    <tableColumn id="16" xr3:uid="{FEF5C7FF-C9FB-4360-BCEB-2A7CCA2168D3}" name="Notes"/>
    <tableColumn id="17" xr3:uid="{CC33B4C5-8817-4983-B1AD-585B6E37B466}" name="PASS/FAIL">
      <calculatedColumnFormula>IF(COUNTIF(E6:L6,"?*")&gt;0,"Fail","Pass")</calculatedColumnFormula>
    </tableColumn>
    <tableColumn id="18" xr3:uid="{D5BCCC88-C4CB-4EFE-8B07-AC43F1549B55}" name="Info?" dataDxfId="339">
      <calculatedColumnFormula>COUNTBLANK('Res Compliance Calculator'!C52:L52)&gt;0</calculatedColumnFormula>
    </tableColumn>
    <tableColumn id="19" xr3:uid="{C37431CF-C53D-4332-BEAF-F088316F7A35}" name="Output" dataDxfId="338">
      <calculatedColumnFormula>IF(Proposed_analysis[[#This Row],[Info?]]=FALSE,Proposed_analysis[[#This Row],[PASS/FAIL]],"More info needed")</calculatedColumnFormula>
    </tableColumn>
  </tableColumns>
  <tableStyleInfo name="TableStyleLight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16D37FD6-804B-41F5-9CFF-324DFA7CDA22}" name="Parcel_Info1126" displayName="Parcel_Info1126" ref="C26:E39" totalsRowShown="0" headerRowDxfId="337" dataDxfId="335" headerRowBorderDxfId="336" tableBorderDxfId="334" totalsRowBorderDxfId="333">
  <autoFilter ref="C26:E39" xr:uid="{2FC3B8BF-9CB2-48A6-9B3A-2CC999CA82C4}"/>
  <tableColumns count="3">
    <tableColumn id="1" xr3:uid="{EE344667-B63F-42D1-BF80-4B959C8BFF23}" name="Description" dataDxfId="332"/>
    <tableColumn id="3" xr3:uid="{70316682-1791-44E3-A557-72A2A258B059}" name="Data" dataDxfId="331"/>
    <tableColumn id="4" xr3:uid="{C00B2FFA-85D1-47C7-8583-A952AD68C74D}" name="Units" dataDxfId="330"/>
  </tableColumns>
  <tableStyleInfo name="TableStyleLight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8F3D7C4C-1EA5-4874-9E4D-FE59D1F12C73}" name="Allowance_Selection27" displayName="Allowance_Selection27" ref="C45:G51" totalsRowShown="0" headerRowDxfId="329" dataDxfId="328" tableBorderDxfId="327">
  <autoFilter ref="C45:G51" xr:uid="{C754EA7C-3232-410D-91C3-C18A5021119D}"/>
  <tableColumns count="5">
    <tableColumn id="1" xr3:uid="{55526569-40E1-4D1C-ADF9-DDFB13A65B6E}" name="Allowance Type" dataDxfId="326"/>
    <tableColumn id="2" xr3:uid="{2CC3389C-FE45-441B-BCC3-19D23B54104F}" name="Number of Type" dataDxfId="325"/>
    <tableColumn id="3" xr3:uid="{66BE390C-0A17-437C-B041-BEBCB5505581}" name="Units" dataDxfId="324">
      <calculatedColumnFormula>'Non-res - Ordinance Values'!C25</calculatedColumnFormula>
    </tableColumn>
    <tableColumn id="4" xr3:uid="{D42398B9-4E9F-4F55-A9FE-797E33CA09A4}" name="Calculated Allowance" dataDxfId="323">
      <calculatedColumnFormula array="1">Allowance_Selection27[[#This Row],[Number of Type]]*VLOOKUP(Allowance_Selection27[[#This Row],[Allowance Type]],'Non-res - Ordinance Values'!$B$24:$G$30,_xlfn.IFS(D$29="LZ0",3,D$29="LZ1",4,D$29="LZ2",5,D$29="LZ3",6),FALSE)</calculatedColumnFormula>
    </tableColumn>
    <tableColumn id="5" xr3:uid="{D90EFDD5-7C92-4CD1-8E3C-B1D182FEB6C1}" name="Additional Information" dataDxfId="322"/>
  </tableColumns>
  <tableStyleInfo name="TableStyleLight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1E3F07FD-6F0D-4FB8-BF20-C51670AE5DF5}" name="Project_Info_Comm28" displayName="Project_Info_Comm28" ref="C59:O70" totalsRowShown="0" headerRowDxfId="321" dataDxfId="319" headerRowBorderDxfId="320" tableBorderDxfId="318" totalsRowBorderDxfId="317">
  <autoFilter ref="C59:O70" xr:uid="{109BA686-C2FA-41B8-A1C5-CCAA8123BBD9}"/>
  <tableColumns count="13">
    <tableColumn id="9" xr3:uid="{1D93A3F5-26D2-410E-B9D8-5908D9E60757}" name="Fixture Label (as shown on lighting plan)" dataDxfId="316"/>
    <tableColumn id="1" xr3:uid="{A02274ED-444B-4342-BE1E-12599D496551}" name="Fixture Type" dataDxfId="315"/>
    <tableColumn id="2" xr3:uid="{240D277A-32BD-4B7E-87AC-D523CD2D3C82}" name="Proposed/Existing?" dataDxfId="314"/>
    <tableColumn id="3" xr3:uid="{A7E73D8F-4B11-4E7B-B932-E7EC87CA3D56}" name="Lumens" dataDxfId="313"/>
    <tableColumn id="5" xr3:uid="{8FBC8410-B08C-491C-B198-1235E680CF79}" name="Quantity" dataDxfId="312"/>
    <tableColumn id="6" xr3:uid="{D9B063BA-C5A2-4F57-9F9A-46D5C09A5497}" name="Total Lumens" dataDxfId="311">
      <calculatedColumnFormula>F60*G60</calculatedColumnFormula>
    </tableColumn>
    <tableColumn id="7" xr3:uid="{36C64764-AA5E-47F1-97A6-70826F8D8C80}" name="Specified CCT" dataDxfId="310"/>
    <tableColumn id="8" xr3:uid="{D910DFF5-AA29-47A7-B2CD-5C4321FACFA5}" name="Mounting Type Fixture/Application" dataDxfId="309"/>
    <tableColumn id="4" xr3:uid="{0877BF6A-D2AC-487F-BBF1-FA76E5772FE1}" name="Maximum Mounting Height" dataDxfId="308">
      <calculatedColumnFormula>IF(OR(Project_Info_Comm28[[#This Row],[Mounting Type Fixture/Application]]=0,Project_Info_Comm28[[#This Row],[Mounting Type Fixture/Application]]="Choose from dropdown"),"",VLOOKUP(Project_Info_Comm28[[#This Row],[Mounting Type Fixture/Application]],'Non-res - Ordinance Values'!$B$3:$C$13,2,FALSE))</calculatedColumnFormula>
    </tableColumn>
    <tableColumn id="10" xr3:uid="{BFC7BE84-D859-45BF-AA79-82B4EE7E9662}" name="Proposed Mounting Height" dataDxfId="307"/>
    <tableColumn id="13" xr3:uid="{ADB6B15D-BDD6-4BDE-8A93-CF9C5A8F0DDC}" name="Site Lumen Allowance Type" dataDxfId="306"/>
    <tableColumn id="14" xr3:uid="{C03B2289-9D74-4D17-8CA9-606FE0552CD7}" name="PASS/FAIL/EXISTING TO REMAIN" dataDxfId="305">
      <calculatedColumnFormula>_xlfn.IFNA(IF(AND(Project_Info_Comm28[[#This Row],[Proposed/Existing?]]='NonRes - Proposed Fixture'!$A$2,$D$92="No"),"Existing to Remain",'NonRes - Proposed Fixture'!U6),"")</calculatedColumnFormula>
    </tableColumn>
    <tableColumn id="15" xr3:uid="{49B82D84-083C-4CEF-812A-E21005D6F866}" name="Errors" dataDxfId="304">
      <calculatedColumnFormula>_xlfn.IFNA(_xlfn.TEXTJOIN(" ",TRUE,'NonRes - Proposed Fixture'!E6,'NonRes - Proposed Fixture'!F6,'NonRes - Proposed Fixture'!H6,'NonRes - Proposed Fixture'!I6,'NonRes - Proposed Fixture'!L6)&amp;".","")</calculatedColumnFormula>
    </tableColumn>
  </tableColumns>
  <tableStyleInfo name="TableStyleLight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BF97B1CC-0000-407E-ADAF-E0A60359C8C9}" name="Table1329" displayName="Table1329" ref="C74:G79" totalsRowShown="0" headerRowDxfId="303" dataDxfId="301" headerRowBorderDxfId="302" tableBorderDxfId="300" totalsRowBorderDxfId="299">
  <autoFilter ref="C74:G79" xr:uid="{87DD38AE-CEBE-4549-BD01-B6492EBC07FF}"/>
  <tableColumns count="5">
    <tableColumn id="1" xr3:uid="{B8D4F3C2-955F-47E3-B885-84FF769095E1}" name="Description" dataDxfId="298"/>
    <tableColumn id="2" xr3:uid="{8D5FB6FF-8B51-4F8B-AC5A-F75553AC3ADF}" name="Data" dataDxfId="297"/>
    <tableColumn id="3" xr3:uid="{FE56F887-6AFD-403B-8E3A-388A9A8E9DBE}" name="Unit" dataDxfId="296"/>
    <tableColumn id="4" xr3:uid="{21EDA26D-869D-4CE1-A7C8-FE6ED87420A9}" name="PASS/FAIL" dataDxfId="295"/>
    <tableColumn id="5" xr3:uid="{00872E7C-CB60-4E23-B2E3-EB7D009423B6}" name="Notes" dataDxfId="294"/>
  </tableColumns>
  <tableStyleInfo name="TableStyleLight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A76EF008-41E2-44DB-AE8F-667FEFF9E83A}" name="Nonres_analysis30" displayName="Nonres_analysis30" ref="C83:G90" totalsRowShown="0" headerRowDxfId="293" dataDxfId="291" headerRowBorderDxfId="292" tableBorderDxfId="290" totalsRowBorderDxfId="289">
  <autoFilter ref="C83:G90" xr:uid="{616745EF-3FFC-4D18-ADE4-5690A8801D3D}"/>
  <tableColumns count="5">
    <tableColumn id="1" xr3:uid="{D61DBAEB-E87A-4234-8253-585C790A95FB}" name="Application" dataDxfId="288"/>
    <tableColumn id="2" xr3:uid="{87EFD184-43A4-451E-80F3-D04DA902C08F}" name="Total Proposed Lumens" dataDxfId="287"/>
    <tableColumn id="3" xr3:uid="{5B596EA0-FD81-4456-8FAA-3B24B17E26D9}" name="Calculated Lumen Allowance" dataDxfId="286"/>
    <tableColumn id="4" xr3:uid="{1292DBBA-FED4-48BD-AAE7-B4082DE66B37}" name="PASS/FAIL" dataDxfId="285"/>
    <tableColumn id="5" xr3:uid="{D70F634D-9CBD-4444-A66B-CE9212B755BE}" name="Notes" dataDxfId="284">
      <calculatedColumnFormula>IF(Nonres_analysis30[[#This Row],[PASS/FAIL]]="FAIL",_xlfn.CONCAT("Proposed lumens exceed allowed for ",Nonres_analysis30[[#This Row],[Application]]),"")</calculatedColumnFormula>
    </tableColumn>
  </tableColumns>
  <tableStyleInfo name="TableStyleLight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7D60424B-0C01-432D-A4D5-6C8CAB443319}" name="Existing_Info1631" displayName="Existing_Info1631" ref="C103:O115" totalsRowShown="0" headerRowDxfId="283" dataDxfId="282" tableBorderDxfId="281">
  <autoFilter ref="C103:O115" xr:uid="{49AA6EFC-470F-4023-92B0-42AADA2417CD}"/>
  <tableColumns count="13">
    <tableColumn id="4" xr3:uid="{C31F017D-E366-4DFC-A1A1-3E5C9AD57898}" name="Fixture Label (as shown on lighting plan)" dataDxfId="280"/>
    <tableColumn id="1" xr3:uid="{353E0E34-7466-458B-9B3B-1394B76A60B3}" name="Fixture Type" dataDxfId="279"/>
    <tableColumn id="12" xr3:uid="{1DD993B6-2D1F-41E4-9DEF-B7C07EDFA596}" name="Existing to Remain / Removed?" dataDxfId="278"/>
    <tableColumn id="3" xr3:uid="{8C4924EC-97CA-4B44-AD13-2B06368EBB18}" name="Lumens" dataDxfId="277"/>
    <tableColumn id="5" xr3:uid="{B9DB83BB-01F7-42BE-840A-EB172525138F}" name="Quantity" dataDxfId="276"/>
    <tableColumn id="6" xr3:uid="{D7C79781-AB34-4050-89D5-9D7F03B00794}" name="Total Lumens" dataDxfId="275">
      <calculatedColumnFormula>F104*G104</calculatedColumnFormula>
    </tableColumn>
    <tableColumn id="7" xr3:uid="{C3FC9F51-E584-4E40-A8D2-0C0C9A5F86CD}" name="Specified CCT" dataDxfId="274"/>
    <tableColumn id="8" xr3:uid="{D1665CA7-B3E1-47C0-8588-58AA1E19001C}" name="Mounting Type Fixture/Application" dataDxfId="273"/>
    <tableColumn id="10" xr3:uid="{4D64DFB2-9B11-4B56-B6A2-6717321D7B77}" name="Maximum Mounting Height (ft)" dataDxfId="272">
      <calculatedColumnFormula>IF(OR(Existing_Info1631[[#This Row],[Mounting Type Fixture/Application]]=0,Existing_Info1631[[#This Row],[Mounting Type Fixture/Application]]="Choose from dropdown"),"",VLOOKUP(Existing_Info1631[[#This Row],[Mounting Type Fixture/Application]],'Non-res - Ordinance Values'!$B$3:$C$13,2,FALSE))</calculatedColumnFormula>
    </tableColumn>
    <tableColumn id="9" xr3:uid="{C2EF06A4-01D7-4E19-AE5E-78631DF87C6E}" name="Proposed Mounting Height (ft)" dataDxfId="271"/>
    <tableColumn id="2" xr3:uid="{59D4BE7E-F6DA-417F-B417-8FFF2B6F4CBA}" name="Site Lumen Allowance Type" dataDxfId="270"/>
    <tableColumn id="15" xr3:uid="{11711BE8-8FE5-4E90-9487-11D103D173F9}" name="PASS/ FAIL/EXISTING TO REMAIN" dataDxfId="269">
      <calculatedColumnFormula>'Nonres - existing fixtures'!Q6</calculatedColumnFormula>
    </tableColumn>
    <tableColumn id="16" xr3:uid="{EE414968-5F55-4715-83A2-CC23F03CD541}" name="Errors" dataDxfId="268">
      <calculatedColumnFormula>_xlfn.IFNA(_xlfn.TEXTJOIN(" ",TRUE,'Nonres - existing fixtures'!D6,'Nonres - existing fixtures'!F6,'Nonres - existing fixtures'!G6,'Nonres - existing fixtures'!J6)&amp;".","")</calculatedColumnFormula>
    </tableColumn>
  </tableColumns>
  <tableStyleInfo name="TableStyleLight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EBBF5445-51C4-455D-83B4-EE73C8051E3C}" name="Table131732" displayName="Table131732" ref="C118:I121" totalsRowShown="0" headerRowDxfId="267" dataDxfId="265" headerRowBorderDxfId="266" tableBorderDxfId="264" totalsRowBorderDxfId="263">
  <autoFilter ref="C118:I121" xr:uid="{8C11C462-82BD-4DE7-B875-E8568A010AF8}"/>
  <tableColumns count="7">
    <tableColumn id="1" xr3:uid="{26A28A74-4CEF-422B-A9FD-DAA411B7BAC7}" name="Description" dataDxfId="262"/>
    <tableColumn id="2" xr3:uid="{D9A8F606-234A-4E75-8A04-4A55088726F4}" name="Existing Parcel Analysis" dataDxfId="261"/>
    <tableColumn id="3" xr3:uid="{1D581E1B-C46F-41E1-8A7B-9862EA4A490E}" name="Unit" dataDxfId="260"/>
    <tableColumn id="7" xr3:uid="{C6339F1A-F9BE-45D7-9CFE-DCC72DF76DB5}" name="Proposed Parcel Analysis" dataDxfId="259">
      <calculatedColumnFormula>F118/F116</calculatedColumnFormula>
    </tableColumn>
    <tableColumn id="8" xr3:uid="{6912FF17-0F56-4E68-AD27-6DF51E4494DE}" name="Units" dataDxfId="258"/>
    <tableColumn id="4" xr3:uid="{BCE60FD5-E1CC-45D0-B1D4-A7F06BFA76D6}" name="PASS/FAIL" dataDxfId="257">
      <calculatedColumnFormula>IF(Table131732[[#This Row],[Proposed Parcel Analysis]]&gt;Table131732[[#This Row],[Existing Parcel Analysis]],"FAIL","PASS")</calculatedColumnFormula>
    </tableColumn>
    <tableColumn id="5" xr3:uid="{7DB79341-97B4-4589-8A67-8B93F9DED961}" name="Notes" dataDxfId="256">
      <calculatedColumnFormula>IF(Table131732[[#This Row],[PASS/FAIL]]="FAIL","Proposed cannot exceed existing","")</calculatedColumnFormula>
    </tableColumn>
  </tableColumns>
  <tableStyleInfo name="TableStyleLight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C20C543C-7CCC-4110-AF28-A4A158692C49}" name="Nonres_analysis1933" displayName="Nonres_analysis1933" ref="C125:G132" totalsRowShown="0" headerRowDxfId="255" dataDxfId="253" headerRowBorderDxfId="254" tableBorderDxfId="252" totalsRowBorderDxfId="251">
  <autoFilter ref="C125:G132" xr:uid="{A291144A-E506-469D-8651-7E5330341D8E}"/>
  <tableColumns count="5">
    <tableColumn id="1" xr3:uid="{F297CEA0-B880-4E26-8140-09EB7ACC53D2}" name="Application" dataDxfId="250"/>
    <tableColumn id="2" xr3:uid="{6FFF3152-01CE-40D7-B0DB-76A380F6788E}" name="Total Existing Lumens" dataDxfId="249"/>
    <tableColumn id="3" xr3:uid="{305A52AA-E6B9-4CFB-8AF2-5DBF9851E089}" name="Calculated Lumen Allowance" dataDxfId="248"/>
    <tableColumn id="4" xr3:uid="{2841DC9C-18F7-403B-B0C0-05DC7CC85F2F}" name="PASS/FAIL" dataDxfId="247"/>
    <tableColumn id="5" xr3:uid="{D7E0B356-B2F2-4F58-9AF0-F81539897076}" name="Notes" dataDxfId="246"/>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E1AE86B-22BE-4112-8224-68B8D5A49347}" name="Lumen_Analysis22" displayName="Lumen_Analysis22" ref="C67:G74" totalsRowShown="0" headerRowDxfId="457" dataDxfId="455" headerRowBorderDxfId="456" tableBorderDxfId="454" totalsRowBorderDxfId="453">
  <autoFilter ref="C67:G74" xr:uid="{FFBDA8F0-61B9-475B-BAF5-6556FEBF46A5}"/>
  <tableColumns count="5">
    <tableColumn id="1" xr3:uid="{FE1905F8-49C2-4E29-81A5-FD77CA4DD805}" name="Description" dataDxfId="452"/>
    <tableColumn id="3" xr3:uid="{49F90615-AFDD-4566-8CFE-9E58F567EC7E}" name="Data" dataDxfId="451"/>
    <tableColumn id="4" xr3:uid="{0E4E9E32-5FAC-436B-BDCA-17C7F7A3BB27}" name="Unit" dataDxfId="450"/>
    <tableColumn id="5" xr3:uid="{F2D25645-E291-4432-9FF5-0B3168EF1A11}" name="PASS/FAIL" dataDxfId="449"/>
    <tableColumn id="6" xr3:uid="{CBE0B9FE-083C-4868-BCFF-AF22229E63A5}" name="Notes" dataDxfId="448"/>
  </tableColumns>
  <tableStyleInfo name="TableStyleLight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2FC3B8BF-9CB2-48A6-9B3A-2CC999CA82C4}" name="Parcel_Info11" displayName="Parcel_Info11" ref="C24:E37" totalsRowShown="0" headerRowDxfId="245" dataDxfId="243" headerRowBorderDxfId="244" tableBorderDxfId="242" totalsRowBorderDxfId="241">
  <autoFilter ref="C24:E37" xr:uid="{2FC3B8BF-9CB2-48A6-9B3A-2CC999CA82C4}"/>
  <tableColumns count="3">
    <tableColumn id="1" xr3:uid="{E8A00689-0068-4979-AE49-9D51406920CA}" name="Description" dataDxfId="240"/>
    <tableColumn id="3" xr3:uid="{F55EB9F8-4FE5-4A44-9964-0E6C0E944655}" name="Data" dataDxfId="239"/>
    <tableColumn id="4" xr3:uid="{1359C854-F7B6-498E-9ACE-D8EF9DDE7729}" name="Units" dataDxfId="238"/>
  </tableColumns>
  <tableStyleInfo name="TableStyleLight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C754EA7C-3232-410D-91C3-C18A5021119D}" name="Allowance_Selection" displayName="Allowance_Selection" ref="C42:G48" totalsRowShown="0" headerRowDxfId="237" dataDxfId="236" tableBorderDxfId="235">
  <autoFilter ref="C42:G48" xr:uid="{C754EA7C-3232-410D-91C3-C18A5021119D}"/>
  <tableColumns count="5">
    <tableColumn id="1" xr3:uid="{DE775697-9116-4055-9C91-9121007DF040}" name="Allowance Type" dataDxfId="234"/>
    <tableColumn id="2" xr3:uid="{4A8DFB4A-BDBE-492F-9810-7DD41724CF09}" name="Number of Type" dataDxfId="233"/>
    <tableColumn id="3" xr3:uid="{7B844A6F-7E00-40CC-8137-4E80FD26173F}" name="Units" dataDxfId="232">
      <calculatedColumnFormula>'Non-res - Ordinance Values'!C25</calculatedColumnFormula>
    </tableColumn>
    <tableColumn id="4" xr3:uid="{EE806C72-40CB-4AE1-B8AA-3CD021DFCC74}" name="Calculated Allowance" dataDxfId="231">
      <calculatedColumnFormula array="1">Allowance_Selection[[#This Row],[Number of Type]]*VLOOKUP(Allowance_Selection[[#This Row],[Allowance Type]],'Non-res - Ordinance Values'!$B$24:$G$30,_xlfn.IFS(D$27="LZ0",3,D$27="LZ1",4,D$27="LZ2",5,D$27="LZ3",6),FALSE)</calculatedColumnFormula>
    </tableColumn>
    <tableColumn id="5" xr3:uid="{47383757-5287-44A2-97FF-E99481972E84}" name="Additional Information" dataDxfId="230"/>
  </tableColumns>
  <tableStyleInfo name="TableStyleLight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109BA686-C2FA-41B8-A1C5-CCAA8123BBD9}" name="Project_Info_Comm" displayName="Project_Info_Comm" ref="C56:O67" totalsRowShown="0" headerRowDxfId="229" dataDxfId="227" headerRowBorderDxfId="228" tableBorderDxfId="226" totalsRowBorderDxfId="225">
  <autoFilter ref="C56:O67" xr:uid="{109BA686-C2FA-41B8-A1C5-CCAA8123BBD9}"/>
  <tableColumns count="13">
    <tableColumn id="9" xr3:uid="{BF295EF6-5149-4846-B104-EC04A872315C}" name="Fixture Label (as shown on lighting plan)" dataDxfId="224"/>
    <tableColumn id="1" xr3:uid="{96A65617-3272-4D26-9C46-99865D32773B}" name="Fixture Type" dataDxfId="223"/>
    <tableColumn id="2" xr3:uid="{EE4FE39B-1655-4CBA-969D-4718C8EBEBE7}" name="Proposed/Existing?" dataDxfId="222"/>
    <tableColumn id="3" xr3:uid="{A060BA34-2410-43C4-AD87-BA196967ABB3}" name="Lumens" dataDxfId="221"/>
    <tableColumn id="5" xr3:uid="{E0DD1552-F0D5-46DE-BF03-C69A93ACDF42}" name="Quantity" dataDxfId="220"/>
    <tableColumn id="6" xr3:uid="{EC99D947-91A5-4B08-BD80-ADC619B7E930}" name="Total Lumens" dataDxfId="219">
      <calculatedColumnFormula>F57*G57</calculatedColumnFormula>
    </tableColumn>
    <tableColumn id="7" xr3:uid="{43F01BA0-CB1B-4E33-847F-115A1552BF33}" name="Specified CCT" dataDxfId="218"/>
    <tableColumn id="8" xr3:uid="{F98FDB52-ADEB-4DBB-93BD-BA78D356B099}" name="Mounting Type Fixture/Application" dataDxfId="217"/>
    <tableColumn id="4" xr3:uid="{BDC3F082-CF4B-4C06-8B69-893F461C165C}" name="Maximum Mounting Height" dataDxfId="216">
      <calculatedColumnFormula>IF(OR(Project_Info_Comm[[#This Row],[Mounting Type Fixture/Application]]=0,Project_Info_Comm[[#This Row],[Mounting Type Fixture/Application]]="Choose from dropdown"),"",VLOOKUP(Project_Info_Comm[[#This Row],[Mounting Type Fixture/Application]],'Non-res - Ordinance Values'!$B$3:$C$13,2,FALSE))</calculatedColumnFormula>
    </tableColumn>
    <tableColumn id="10" xr3:uid="{C6EE81A6-628D-4E25-A703-03FE85677394}" name="Proposed Mounting Height" dataDxfId="215"/>
    <tableColumn id="13" xr3:uid="{A1471294-7DB2-4420-AE2B-2D3FB29A58FF}" name="Site Lumen Allowance Type" dataDxfId="214"/>
    <tableColumn id="14" xr3:uid="{992DB22F-7F0C-48D8-B124-8C5F0F94D773}" name="PASS/FAIL/EXISTING TO REMAIN" dataDxfId="213">
      <calculatedColumnFormula>_xlfn.IFNA(IF(AND(Project_Info_Comm[[#This Row],[Proposed/Existing?]]='NonRes - Proposed Fixture'!$A$2,$D$89="No"),"Existing to Remain",'NonRes - Proposed Fixture'!U6),"")</calculatedColumnFormula>
    </tableColumn>
    <tableColumn id="15" xr3:uid="{88B057AB-7D20-4989-8E11-5E19D05A5215}" name="Errors" dataDxfId="212">
      <calculatedColumnFormula>_xlfn.IFNA(_xlfn.TEXTJOIN(" ",TRUE,'NonRes - Proposed Fixture'!E6,'NonRes - Proposed Fixture'!F6,'NonRes - Proposed Fixture'!H6,'NonRes - Proposed Fixture'!I6,'NonRes - Proposed Fixture'!L6)&amp;".","")</calculatedColumnFormula>
    </tableColumn>
  </tableColumns>
  <tableStyleInfo name="TableStyleLight1"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87DD38AE-CEBE-4549-BD01-B6492EBC07FF}" name="Table13" displayName="Table13" ref="C71:G76" totalsRowShown="0" headerRowDxfId="211" dataDxfId="209" headerRowBorderDxfId="210" tableBorderDxfId="208" totalsRowBorderDxfId="207">
  <autoFilter ref="C71:G76" xr:uid="{87DD38AE-CEBE-4549-BD01-B6492EBC07FF}"/>
  <tableColumns count="5">
    <tableColumn id="1" xr3:uid="{AD8D4DF6-8815-419E-A024-871F32782279}" name="Description" dataDxfId="206"/>
    <tableColumn id="2" xr3:uid="{9F6C3557-C571-4D4F-AFFE-750BAC927EF8}" name="Data" dataDxfId="205"/>
    <tableColumn id="3" xr3:uid="{2A61137E-0579-4F7C-846D-BA87FF7A8BDC}" name="Unit" dataDxfId="204"/>
    <tableColumn id="4" xr3:uid="{3B09D0F6-B67B-4F66-83B6-ECCC94C45F39}" name="PASS/FAIL" dataDxfId="203"/>
    <tableColumn id="5" xr3:uid="{0F206B48-E092-415C-B227-668739F0AFCA}" name="Notes" dataDxfId="202"/>
  </tableColumns>
  <tableStyleInfo name="TableStyleLight1"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6745EF-3FFC-4D18-ADE4-5690A8801D3D}" name="Nonres_analysis" displayName="Nonres_analysis" ref="C80:G87" totalsRowShown="0" headerRowDxfId="201" dataDxfId="199" headerRowBorderDxfId="200" tableBorderDxfId="198" totalsRowBorderDxfId="197">
  <autoFilter ref="C80:G87" xr:uid="{616745EF-3FFC-4D18-ADE4-5690A8801D3D}"/>
  <tableColumns count="5">
    <tableColumn id="1" xr3:uid="{E9FE7809-F08F-45D6-8132-B46B5E492562}" name="Application" dataDxfId="196"/>
    <tableColumn id="2" xr3:uid="{B0D1C498-9BBB-45FA-932E-1ABC6232A386}" name="Total Proposed Lumens" dataDxfId="195"/>
    <tableColumn id="3" xr3:uid="{DAD2BB4B-4460-46E1-B733-F78375AEEB51}" name="Calculated Lumen Allowance" dataDxfId="194"/>
    <tableColumn id="4" xr3:uid="{8343B71F-7672-4B4A-92E5-AF664E589FE6}" name="PASS/FAIL" dataDxfId="193"/>
    <tableColumn id="5" xr3:uid="{E18CA665-5EAF-4FF2-B25E-033F01C2C126}" name="Notes" dataDxfId="192">
      <calculatedColumnFormula>IF(Nonres_analysis[[#This Row],[PASS/FAIL]]="FAIL",_xlfn.CONCAT("Proposed lumens exceed allowed for ",Nonres_analysis[[#This Row],[Application]]),"")</calculatedColumnFormula>
    </tableColumn>
  </tableColumns>
  <tableStyleInfo name="TableStyleLight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49AA6EFC-470F-4023-92B0-42AADA2417CD}" name="Existing_Info16" displayName="Existing_Info16" ref="C99:O111" totalsRowShown="0" headerRowDxfId="191" dataDxfId="190" tableBorderDxfId="189">
  <autoFilter ref="C99:O111" xr:uid="{49AA6EFC-470F-4023-92B0-42AADA2417CD}"/>
  <tableColumns count="13">
    <tableColumn id="4" xr3:uid="{EB36CB8A-0B18-4CC5-A3D0-B4720984D0DD}" name="Fixture Label (as shown on lighting plan)" dataDxfId="188"/>
    <tableColumn id="1" xr3:uid="{0A6C30A5-0454-4B82-AA9E-38C0A8804431}" name="Fixture Type" dataDxfId="187"/>
    <tableColumn id="3" xr3:uid="{3F128721-8025-4D9B-81C4-E975053BC2D4}" name="Existing to Remain / Removed?" dataDxfId="186"/>
    <tableColumn id="5" xr3:uid="{2825FF88-4E33-4220-AB45-0D7D1FAA8444}" name="Lumens" dataDxfId="185" dataCellStyle="Comma"/>
    <tableColumn id="6" xr3:uid="{7CDE7FD7-4232-47F3-A47E-0416C67663FF}" name="Quantity" dataDxfId="184"/>
    <tableColumn id="7" xr3:uid="{89BA541C-8AF4-4F50-BB76-71372F375C4A}" name="Total Lumens" dataDxfId="183">
      <calculatedColumnFormula>Existing_Info16[[#This Row],[Quantity]]*Existing_Info16[[#This Row],[Lumens]]</calculatedColumnFormula>
    </tableColumn>
    <tableColumn id="8" xr3:uid="{C22E3C8C-A010-46BA-A797-130EB76FD926}" name="Specified CCT" dataDxfId="182"/>
    <tableColumn id="10" xr3:uid="{4091C00E-AEDE-4A32-B473-A43C98C878F3}" name="Mounting Type Fixture/Application" dataDxfId="181"/>
    <tableColumn id="9" xr3:uid="{AFE750C1-28B9-4E60-B9E7-674B68227E22}" name="Maximum Mounting Height (ft)" dataDxfId="180">
      <calculatedColumnFormula>IF(OR(Existing_Info16[[#This Row],[Mounting Type Fixture/Application]]=0,Existing_Info16[[#This Row],[Mounting Type Fixture/Application]]="Choose from dropdown"),"",VLOOKUP(Existing_Info16[[#This Row],[Mounting Type Fixture/Application]],'Non-res - Ordinance Values'!$B$3:$C$10,2,FALSE))</calculatedColumnFormula>
    </tableColumn>
    <tableColumn id="11" xr3:uid="{9016D3E8-875C-41BB-9E28-F1F44592E236}" name="Proposed Mounting Height (ft)" dataDxfId="179"/>
    <tableColumn id="15" xr3:uid="{FD67A158-48C3-472E-A129-0ED244CF4B6C}" name="Site Lumen Allowance Type" dataDxfId="178"/>
    <tableColumn id="16" xr3:uid="{34031322-482C-47DB-B46E-5E36EBB24067}" name="PASS/ FAIL/EXISTING TO REMAIN" dataDxfId="177">
      <calculatedColumnFormula>'Nonres - existing fixtures'!Q6</calculatedColumnFormula>
    </tableColumn>
    <tableColumn id="12" xr3:uid="{AC1C0DDC-734C-45EE-97D9-3E91961DB343}" name="Errors" dataDxfId="176">
      <calculatedColumnFormula>_xlfn.IFNA(_xlfn.TEXTJOIN(" ",TRUE,'Nonres - existing fixtures'!D6,'Nonres - existing fixtures'!F6,'Nonres - existing fixtures'!G6,'Nonres - existing fixtures'!J6)&amp;".","")</calculatedColumnFormula>
    </tableColumn>
  </tableColumns>
  <tableStyleInfo name="TableStyleLight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8C11C462-82BD-4DE7-B875-E8568A010AF8}" name="Table1317" displayName="Table1317" ref="C114:I117" totalsRowShown="0" headerRowDxfId="175" dataDxfId="173" headerRowBorderDxfId="174" tableBorderDxfId="172" totalsRowBorderDxfId="171">
  <autoFilter ref="C114:I117" xr:uid="{8C11C462-82BD-4DE7-B875-E8568A010AF8}"/>
  <tableColumns count="7">
    <tableColumn id="1" xr3:uid="{9AB5F2A9-CE0B-4A37-9958-C2D27852FCC8}" name="Description" dataDxfId="170"/>
    <tableColumn id="2" xr3:uid="{4352883F-E5AD-4123-B120-C7648DB5BAD6}" name="Existing Parcel Analysis" dataDxfId="169"/>
    <tableColumn id="3" xr3:uid="{1893FF4C-3065-4EFB-A6FD-70349A1C6770}" name="Unit" dataDxfId="168"/>
    <tableColumn id="7" xr3:uid="{6CDDFE36-C227-4C57-A9A5-AB63C7ACF106}" name="Proposed Parcel Analysis" dataDxfId="167">
      <calculatedColumnFormula>F114/F112</calculatedColumnFormula>
    </tableColumn>
    <tableColumn id="8" xr3:uid="{527F6278-950C-4249-8874-1555399618A1}" name="Units" dataDxfId="166"/>
    <tableColumn id="4" xr3:uid="{74CB5484-901A-4697-A071-50B01020AB1C}" name="PASS/FAIL" dataDxfId="165">
      <calculatedColumnFormula>IF(F74="PASS","PASS",IF(Table1317[[#This Row],[Proposed Parcel Analysis]]&gt;Table1317[[#This Row],[Existing Parcel Analysis]],"FAIL","ACCEPTED"))</calculatedColumnFormula>
    </tableColumn>
    <tableColumn id="5" xr3:uid="{0CE80476-B405-4962-B21C-60746A0EE49C}" name="Notes" dataDxfId="164">
      <calculatedColumnFormula>IF(Table1317[[#This Row],[PASS/FAIL]]="FAIL","Proposed cannot exceed existing",IF(Table1317[[#This Row],[PASS/FAIL]]="PASS","Proposed parcel meets code.",""))</calculatedColumnFormula>
    </tableColumn>
  </tableColumns>
  <tableStyleInfo name="TableStyleLight1"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A291144A-E506-469D-8651-7E5330341D8E}" name="Nonres_analysis19" displayName="Nonres_analysis19" ref="C121:G128" totalsRowShown="0" headerRowDxfId="163" dataDxfId="161" headerRowBorderDxfId="162" tableBorderDxfId="160" totalsRowBorderDxfId="159">
  <autoFilter ref="C121:G128" xr:uid="{A291144A-E506-469D-8651-7E5330341D8E}"/>
  <tableColumns count="5">
    <tableColumn id="1" xr3:uid="{844ECE13-3F21-4169-B6F0-F3EA651EC206}" name="Application" dataDxfId="158"/>
    <tableColumn id="2" xr3:uid="{56CCB56A-F006-4FF3-95F4-664BC9D6206E}" name="Total Existing Lumens" dataDxfId="157"/>
    <tableColumn id="3" xr3:uid="{7FE1D923-A156-48BC-89EB-67132A99032F}" name="Calculated Lumen Allowance" dataDxfId="156"/>
    <tableColumn id="4" xr3:uid="{699D7DED-04A6-4FA7-B641-3E1498D16AE2}" name="PASS/FAIL" dataDxfId="155"/>
    <tableColumn id="5" xr3:uid="{078C6D2A-C1A4-46D8-AA02-0707631E94A0}" name="Notes" dataDxfId="154"/>
  </tableColumns>
  <tableStyleInfo name="TableStyleLight1"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A369499-0E5B-4E62-A3C1-EBEB02912945}" name="Proposed_analysis9" displayName="Proposed_analysis9" ref="A5:U56" totalsRowShown="0" headerRowDxfId="153">
  <autoFilter ref="A5:U56" xr:uid="{10B6F843-5F87-441D-B683-37AA8C2374C3}"/>
  <tableColumns count="21">
    <tableColumn id="1" xr3:uid="{BF6D1BE2-127E-4971-AED6-CA082CFB4971}" name="Fixture Type">
      <calculatedColumnFormula>'NonRes Compliance Calculator'!D57</calculatedColumnFormula>
    </tableColumn>
    <tableColumn id="2" xr3:uid="{28FBC091-2357-46D8-8173-CF3403F7C4D5}" name="Fixture to remain?" dataDxfId="152">
      <calculatedColumnFormula>'NonRes Compliance Calculator'!E57</calculatedColumnFormula>
    </tableColumn>
    <tableColumn id="3" xr3:uid="{39C95A35-1DE5-4DBB-9545-8FAD550C0718}" name="Fixture Label (as shown on lighting plan)" dataDxfId="151">
      <calculatedColumnFormula>'NonRes Compliance Calculator'!C57</calculatedColumnFormula>
    </tableColumn>
    <tableColumn id="23" xr3:uid="{9E138CAD-6EF9-4874-864C-6D5C2EC1B641}" name="Mounting Type / Application" dataDxfId="150">
      <calculatedColumnFormula>'NonRes Compliance Calculator'!J57</calculatedColumnFormula>
    </tableColumn>
    <tableColumn id="22" xr3:uid="{920B0F8B-AB5C-437E-981A-76EE22452359}" name="Unshielded / Partially" dataDxfId="149">
      <calculatedColumnFormula>IF(AND(OR(A6='Non-res - Ordinance Values'!$B$16,A6='Non-res - Ordinance Values'!$B$17,A6='Non-res - Ordinance Values'!$B$19),OR(D6='Non-res - Ordinance Values'!$B$4,D6='Non-res - Ordinance Values'!$B$5,D6='Non-res - Ordinance Values'!$B$8,D6='Non-res - Ordinance Values'!$B$9,D6='Non-res - Ordinance Values'!$B$12)),"Unapproved use of unshielded or partially shielded fixtures, ","")</calculatedColumnFormula>
    </tableColumn>
    <tableColumn id="4" xr3:uid="{CC30DA6C-8F25-46C8-AB77-8C30B03AE490}" name="Meets max fixture lumen allowace?" dataDxfId="148">
      <calculatedColumnFormula array="1">_xlfn.IFNA(IF('NonRes Compliance Calculator'!D57='Non-res - Ordinance Values'!$B$20,"",(IF('NonRes Compliance Calculator'!F57&gt;VLOOKUP('NonRes Compliance Calculator'!D57,'Non-res - Ordinance Values'!$B$16:$F$21,_xlfn.IFS('NonRes Compliance Calculator'!$D$27="LZ1",3,'NonRes Compliance Calculator'!$D$27="LZ2",4),FALSE),"Lumens exceed limit,",""))),"")</calculatedColumnFormula>
    </tableColumn>
    <tableColumn id="5" xr3:uid="{D48F4977-F0EE-42F8-84F2-23C30923D722}" name="Quantity"/>
    <tableColumn id="6" xr3:uid="{2109E9F1-DCAB-4663-8326-E3FEAF8FC968}" name="CCT TOO HIGH" dataDxfId="147">
      <calculatedColumnFormula>IF('NonRes Compliance Calculator'!I57="","",IF('NonRes Compliance Calculator'!I57&gt;3000,"CCT too high,",""))</calculatedColumnFormula>
    </tableColumn>
    <tableColumn id="7" xr3:uid="{344536FA-8A94-4D5C-AB5E-423E5712A7E6}" name=" CCT TOO LOW" dataDxfId="146">
      <calculatedColumnFormula>IF('NonRes Compliance Calculator'!I57="","",IF('NonRes Compliance Calculator'!I57&lt;2700,"CCT too low,",""))</calculatedColumnFormula>
    </tableColumn>
    <tableColumn id="8" xr3:uid="{3DDE74E6-AABE-4640-9885-2BB255244AD5}" name="Mounting Type Fixture/Application"/>
    <tableColumn id="9" xr3:uid="{C6F0B179-3072-4235-9F58-D2C69DBD0D70}" name="Maximum Mounting Height (ft)"/>
    <tableColumn id="10" xr3:uid="{2A107E4D-6221-4B09-A6C8-AB73DAD6883B}" name="Meets mounting height?" dataDxfId="145">
      <calculatedColumnFormula>IF('NonRes Compliance Calculator'!L57&lt;='NonRes Compliance Calculator'!K57,"","Exceeds allowed mounting height,")</calculatedColumnFormula>
    </tableColumn>
    <tableColumn id="11" xr3:uid="{F1DE41BE-F240-48C9-858A-401996F68C9A}" name="BUG Ratings: Backlit"/>
    <tableColumn id="12" xr3:uid="{BCC2A1D3-974C-4C38-981C-783F995486FD}" name="BUG Ratings: Uplight"/>
    <tableColumn id="13" xr3:uid="{DA2809BA-205A-4324-8253-056376F440E8}" name="BUG Ratings: Glare"/>
    <tableColumn id="14" xr3:uid="{BD92DBB5-9CCC-4DA9-A0CC-F721E1DE1FBD}" name="PASS/ FAIL"/>
    <tableColumn id="15" xr3:uid="{600CDAAC-B8A8-4625-B516-684D93D60DD9}" name="Errors"/>
    <tableColumn id="16" xr3:uid="{3263E6A4-FDC5-4936-8B47-D9C633EC2D84}" name="Notes"/>
    <tableColumn id="17" xr3:uid="{036A14C4-41C4-4DFF-A5D2-3AFDA62997B2}" name="PASS/FAIL" dataDxfId="144">
      <calculatedColumnFormula>IF(COUNTIF(E6:L6,"?*")&gt;0,"Fail","Pass")</calculatedColumnFormula>
    </tableColumn>
    <tableColumn id="18" xr3:uid="{2284E400-C454-4D1D-A3E6-799436E277B6}" name="Info?" dataDxfId="143">
      <calculatedColumnFormula>COUNTBLANK('NonRes Compliance Calculator'!C57:L57)+COUNTBLANK('NonRes Compliance Calculator'!M57)&gt;0</calculatedColumnFormula>
    </tableColumn>
    <tableColumn id="19" xr3:uid="{5551FF3F-72C1-417E-B23D-800160C740D4}" name="Output" dataDxfId="142">
      <calculatedColumnFormula>IF(Proposed_analysis9[[#This Row],[Info?]]=FALSE,Proposed_analysis9[[#This Row],[PASS/FAIL]],"More info needed")</calculatedColumnFormula>
    </tableColumn>
  </tableColumns>
  <tableStyleInfo name="TableStyleLight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759FFBD-85E2-498F-945B-9C3C4AFCAAB2}" name="LZ1_base" displayName="LZ1_base" ref="A34:B41" totalsRowShown="0" headerRowDxfId="141" dataDxfId="140">
  <autoFilter ref="A34:B41" xr:uid="{B759FFBD-85E2-498F-945B-9C3C4AFCAAB2}"/>
  <tableColumns count="2">
    <tableColumn id="1" xr3:uid="{0A632002-0BD9-47BF-A235-62C35DDB4F64}" name="lot size" dataDxfId="139"/>
    <tableColumn id="2" xr3:uid="{3B09FD17-B939-4004-AC4C-0EBB723F0FB6}" name="LZ1 base allowance" dataDxfId="13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924155B3-A129-4870-8CFB-FE87B926D74D}" name="Project_Info23" displayName="Project_Info23" ref="C50:N62" totalsRowShown="0" headerRowDxfId="447" dataDxfId="446" tableBorderDxfId="445">
  <autoFilter ref="C50:N62" xr:uid="{40CFB0D3-0A61-4326-AC07-ACC255A7D04C}"/>
  <tableColumns count="12">
    <tableColumn id="4" xr3:uid="{8AC03453-A528-4DEB-971B-49EB6A796E02}" name="Fixture Label (as shown on lighting plan)" dataDxfId="444"/>
    <tableColumn id="1" xr3:uid="{6CBF6D07-BD20-4FA1-B011-E5365C22A93C}" name="Fixture Type " dataDxfId="443"/>
    <tableColumn id="17" xr3:uid="{9AD5EC59-25A9-4506-A8BA-7C6E3C4C41AC}" name="Proposed/Existing" dataDxfId="442"/>
    <tableColumn id="3" xr3:uid="{9C815812-FB0D-4802-8E1B-459F371D65C3}" name="Lumens" dataDxfId="441"/>
    <tableColumn id="5" xr3:uid="{C4B2BFE9-217A-49A6-92F0-E11DDCF0CCB6}" name="Quantity" dataDxfId="440"/>
    <tableColumn id="6" xr3:uid="{F9ADFCC7-9830-44FC-901A-1D7E5F42DE2A}" name="Total Lumens" dataDxfId="439">
      <calculatedColumnFormula>Project_Info23[[#This Row],[Quantity]]*Project_Info23[[#This Row],[Lumens]]</calculatedColumnFormula>
    </tableColumn>
    <tableColumn id="7" xr3:uid="{8E930090-CFB7-48BD-BA29-E8919EE3FBA3}" name="Specified CCT" dataDxfId="438"/>
    <tableColumn id="8" xr3:uid="{B4D582FD-1AB1-41DD-8215-84A3745BA6FA}" name="Mounting Type Fixture/Application" dataDxfId="437"/>
    <tableColumn id="10" xr3:uid="{E12DC162-FFC6-423D-9EF0-F0FC8FC257DE}" name="Maximum Mounting Height (ft)" dataDxfId="436">
      <calculatedColumnFormula>IF(OR(Project_Info23[[#This Row],[Mounting Type Fixture/Application]]=0,Project_Info23[[#This Row],[Mounting Type Fixture/Application]]="Choose from dropdown"),"",VLOOKUP(Project_Info23[[#This Row],[Mounting Type Fixture/Application]],'Res - Ordinance Values'!$B$9:$C$20,2,FALSE))</calculatedColumnFormula>
    </tableColumn>
    <tableColumn id="9" xr3:uid="{B95D84DC-0D1A-4D9A-B1D7-6A4F581B9399}" name="Proposed Mounting Height (ft)" dataDxfId="435"/>
    <tableColumn id="15" xr3:uid="{CBE0CA30-96B2-414D-90D1-4CF6B210094D}" name="PASS/FAIL/EXISTING TO REMAIN" dataDxfId="434">
      <calculatedColumnFormula>IF('Res - Proposed Fixture analysis'!U6="More info needed","More info needed",_xlfn.IFNA(IF(AND(Project_Info23[[#This Row],[Proposed/Existing]]='Res - Proposed Fixture analysis'!$A$3,$D$76="No"),"Existing to Remain",'Res - Proposed Fixture analysis'!U6),""))</calculatedColumnFormula>
    </tableColumn>
    <tableColumn id="16" xr3:uid="{AAEC4842-7816-4B99-93BA-C401E8A0773D}" name="Errors" dataDxfId="433">
      <calculatedColumnFormula>_xlfn.IFNA(_xlfn.TEXTJOIN(" ",TRUE,'Res - Proposed Fixture analysis'!E6,'Res - Proposed Fixture analysis'!F6,'Res - Proposed Fixture analysis'!H6,'Res - Proposed Fixture analysis'!I6,'Res - Proposed Fixture analysis'!J6,'Res - Proposed Fixture analysis'!L6)&amp;".","")</calculatedColumnFormula>
    </tableColumn>
  </tableColumns>
  <tableStyleInfo name="TableStyleLight1"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5956AD5-7130-4D22-9F7F-CB1802AAFB29}" name="LZ2_base" displayName="LZ2_base" ref="A45:B52" totalsRowShown="0" headerRowDxfId="137" dataDxfId="136">
  <autoFilter ref="A45:B52" xr:uid="{45956AD5-7130-4D22-9F7F-CB1802AAFB29}"/>
  <tableColumns count="2">
    <tableColumn id="1" xr3:uid="{CE0B133A-A2E7-40FF-AAE1-41B676F387DF}" name="lot size" dataDxfId="135"/>
    <tableColumn id="2" xr3:uid="{CDA673FC-F3CB-4585-B97C-38F2BBB9AB01}" name="LZ2 base allowance" dataDxfId="134"/>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8811AC1A-4E76-40BA-AD04-CB117C4C4982}" name="Proposed_analysis8" displayName="Proposed_analysis8" ref="A5:P56" totalsRowShown="0" headerRowDxfId="133">
  <autoFilter ref="A5:P56" xr:uid="{10B6F843-5F87-441D-B683-37AA8C2374C3}"/>
  <tableColumns count="16">
    <tableColumn id="1" xr3:uid="{C2D6B778-2273-4684-9584-F6163300DC8E}" name="Fixture Type">
      <calculatedColumnFormula>'Res Compliance Calculator'!D52</calculatedColumnFormula>
    </tableColumn>
    <tableColumn id="3" xr3:uid="{DF98D92C-5B09-46C9-AF04-DBB9B016462D}" name="Fixture Label (as shown on lighting plan)">
      <calculatedColumnFormula>'Res Compliance Calculator'!C52</calculatedColumnFormula>
    </tableColumn>
    <tableColumn id="4" xr3:uid="{38DBFD9D-9D28-4D29-93E0-5556C2ECD812}" name="Meets max fixture lumen allowace?" dataDxfId="132">
      <calculatedColumnFormula array="1">_xlfn.IFNA(IF('Res Compliance Calculator'!D88='Res - Ordinance Values'!$B$27,"",(IF('Res Compliance Calculator'!$F88&gt;VLOOKUP('Res Compliance Calculator'!$D88,'Res - Ordinance Values'!$B$23:$F$28,_xlfn.IFS('Res Compliance Calculator'!$D$29="LZ1",3,'Res Compliance Calculator'!$D$29="LZ2",4),FALSE),"Lumens exceed limit,",""))),"")</calculatedColumnFormula>
    </tableColumn>
    <tableColumn id="5" xr3:uid="{B33A1C3B-6C7E-4F75-8F82-382339507CA5}" name="Quantity"/>
    <tableColumn id="6" xr3:uid="{03BAF70C-7B3F-4B21-B61C-19CA31F2C602}" name="Total Lumens"/>
    <tableColumn id="7" xr3:uid="{920845CC-E0FE-48B7-927D-A7F1ED033E64}" name="CCT too low?" dataDxfId="131">
      <calculatedColumnFormula>IF('Res Compliance Calculator'!I88="","",IF('Res Compliance Calculator'!I88&lt;2700,"CCT too low,",""))</calculatedColumnFormula>
    </tableColumn>
    <tableColumn id="8" xr3:uid="{66EA1484-A772-4449-BC0F-5BA2DAAE3A3A}" name="CCT too low"/>
    <tableColumn id="9" xr3:uid="{F5BF157F-9E6B-47B0-9A93-B370411AED24}" name="Maximum Mounting Height (ft)"/>
    <tableColumn id="10" xr3:uid="{45906893-CBE7-4CF2-9C30-DF38561793E2}" name="Meets mounting height?" dataDxfId="130">
      <calculatedColumnFormula>IF('Res Compliance Calculator'!$L88&lt;='Res Compliance Calculator'!#REF!,"","Exceeds allowed mounting height,")</calculatedColumnFormula>
    </tableColumn>
    <tableColumn id="11" xr3:uid="{7DCE6EB5-21F1-4E3C-BFCA-1E7604E4B4A8}" name="BUG Ratings: Backlit"/>
    <tableColumn id="12" xr3:uid="{3260D483-C9D1-4709-A5E2-A9F27505E6E9}" name="BUG Ratings: Uplight"/>
    <tableColumn id="13" xr3:uid="{F656D970-996B-4C5A-BA5B-B8314F9BB724}" name="BUG Ratings: Glare"/>
    <tableColumn id="14" xr3:uid="{DFF8B371-2676-4A30-A628-4FA53F40A613}" name="PASS/ FAIL"/>
    <tableColumn id="15" xr3:uid="{8171702C-5BEF-4725-84BF-413B7AA4E9B0}" name="Errors"/>
    <tableColumn id="16" xr3:uid="{7548342F-F281-44FD-B2A3-E9CBA7D45679}" name="Notes"/>
    <tableColumn id="17" xr3:uid="{7C18F860-C86F-469D-B065-0728FEFC6D88}" name="PASS/FAIL">
      <calculatedColumnFormula>IF(COUNTIF(C6:I6,"?*")&gt;0,"Fail","Pass")</calculatedColumnFormula>
    </tableColumn>
  </tableColumns>
  <tableStyleInfo name="TableStyleLight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DB65F964-DC16-4253-9D00-046B0B3A588A}" name="Proposed_analysis918" displayName="Proposed_analysis918" ref="A5:Q57" totalsRowShown="0" headerRowDxfId="129">
  <autoFilter ref="A5:Q57" xr:uid="{DB65F964-DC16-4253-9D00-046B0B3A588A}"/>
  <tableColumns count="17">
    <tableColumn id="1" xr3:uid="{1D2C60D2-1CFF-4D80-A930-87F415D18073}" name="Fixture Type" dataDxfId="128">
      <calculatedColumnFormula>'NonRes Compliance Calculator'!D100</calculatedColumnFormula>
    </tableColumn>
    <tableColumn id="2" xr3:uid="{02A2E342-8F96-4096-9A5F-E45B9EED1C6F}" name="Column1" dataDxfId="127"/>
    <tableColumn id="3" xr3:uid="{411E783F-323A-4DF8-AEAF-0268EAAAEEDD}" name="Fixture Label (as shown on lighting plan)" dataDxfId="126">
      <calculatedColumnFormula>'NonRes Compliance Calculator'!C100</calculatedColumnFormula>
    </tableColumn>
    <tableColumn id="4" xr3:uid="{8EAAC672-1DAF-462F-B2AD-866D2FFAF9AD}" name="Meets max fixture lumen allowace?" dataDxfId="125">
      <calculatedColumnFormula array="1">_xlfn.IFNA(IF('NonRes Compliance Calculator'!D100='Non-res - Ordinance Values'!$B$20,"",(IF('NonRes Compliance Calculator'!F100&gt;VLOOKUP('NonRes Compliance Calculator'!D100,'Non-res - Ordinance Values'!$B$15:$F$21,_xlfn.IFS('NonRes Compliance Calculator'!$D$27="LZ1",3,'NonRes Compliance Calculator'!$D$27="LZ2",4),FALSE),"Lumens exceed limit,",""))),"")</calculatedColumnFormula>
    </tableColumn>
    <tableColumn id="5" xr3:uid="{48F76D32-B21C-4A4B-BC36-7C1671829788}" name="Quantity"/>
    <tableColumn id="6" xr3:uid="{17A99C8D-1253-4004-9DAF-E9C9A7ADE124}" name="CCT TOO HIGH" dataDxfId="124">
      <calculatedColumnFormula>IF('NonRes Compliance Calculator'!I100="","",IF('NonRes Compliance Calculator'!I100&gt;3000,"CCT too high,",""))</calculatedColumnFormula>
    </tableColumn>
    <tableColumn id="7" xr3:uid="{113C0A80-CA01-4C8B-9E1D-ADFA72A33001}" name=" CCT TOO LOW" dataDxfId="123">
      <calculatedColumnFormula>IF('NonRes Compliance Calculator'!I100="","",IF('NonRes Compliance Calculator'!I100&lt;2700,"CCT too low,",""))</calculatedColumnFormula>
    </tableColumn>
    <tableColumn id="8" xr3:uid="{38D13BCE-E9A1-49CB-A3BA-43E0331F9396}" name="Mounting Type Fixture/Application"/>
    <tableColumn id="9" xr3:uid="{3955CF9A-049C-4EDD-B63D-FBDDD6DE80CA}" name="Maximum Mounting Height (ft)"/>
    <tableColumn id="10" xr3:uid="{62667D25-5BE6-42B7-994F-87F20378ECD5}" name="Meets mounting height?" dataDxfId="122">
      <calculatedColumnFormula>IF('NonRes Compliance Calculator'!L100&lt;='NonRes Compliance Calculator'!K100,"","Exceeds allowed mounting height,")</calculatedColumnFormula>
    </tableColumn>
    <tableColumn id="11" xr3:uid="{FAB3DA0D-F7A9-4972-AE61-D06B8AA250B8}" name="BUG Ratings: Backlit"/>
    <tableColumn id="12" xr3:uid="{E04F1740-1C0E-4672-AFF1-924BD19CC2D3}" name="BUG Ratings: Uplight"/>
    <tableColumn id="13" xr3:uid="{E2E667E8-237F-4167-B07A-BB1D0978DCC2}" name="BUG Ratings: Glare"/>
    <tableColumn id="14" xr3:uid="{BCE134FC-E2A9-4B0D-8446-5808A1C8FDC9}" name="PASS/ FAIL"/>
    <tableColumn id="15" xr3:uid="{825D9253-4E6E-4804-8AE7-346B363DE51C}" name="Errors"/>
    <tableColumn id="16" xr3:uid="{B6B8B64B-8366-4B80-82CE-59ABAD1F9D8D}" name="Notes"/>
    <tableColumn id="17" xr3:uid="{274907F5-9477-46D1-89C0-CEE95C11FB71}" name="PASS/FAIL">
      <calculatedColumnFormula>IF(COUNTIF(D6:J6,"?*")&gt;0,"Fail","Pass")</calculatedColumnFormula>
    </tableColumn>
  </tableColumns>
  <tableStyleInfo name="TableStyleLight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3191486B-1266-4488-B1C9-ACB98F87EEF4}" name="Existing_Info24" displayName="Existing_Info24" ref="C86:N98" totalsRowShown="0" headerRowDxfId="432" dataDxfId="431" tableBorderDxfId="430">
  <autoFilter ref="C86:N98" xr:uid="{43B9356F-0632-4EFE-B5AC-623C8627B1C8}"/>
  <tableColumns count="12">
    <tableColumn id="4" xr3:uid="{86A796C4-EB66-4BD3-8ED0-7C92459B6963}" name="Fixture Label (as shown on lighting plan)" dataDxfId="429"/>
    <tableColumn id="1" xr3:uid="{03766868-25D8-4971-BCEA-5EDC3E994E48}" name="Fixture Type" dataDxfId="428"/>
    <tableColumn id="2" xr3:uid="{59EBBF2C-067E-44B4-A58F-C3876745277D}" name="Existing to Remain / Removed?" dataDxfId="427"/>
    <tableColumn id="3" xr3:uid="{CEFAFD96-123A-4E36-A57D-BD85219C711F}" name="Lumens" dataDxfId="426"/>
    <tableColumn id="5" xr3:uid="{4FE53089-3888-410A-AF28-96B5745244E2}" name="Quantity" dataDxfId="425"/>
    <tableColumn id="6" xr3:uid="{DD63AEE6-EC29-4036-B7AD-BAF563B66F24}" name="Total Lumens" dataDxfId="424">
      <calculatedColumnFormula>F87*G87</calculatedColumnFormula>
    </tableColumn>
    <tableColumn id="7" xr3:uid="{035CD868-DD49-4E1D-8415-A68ACEF0CA4E}" name="Specified CCT" dataDxfId="423"/>
    <tableColumn id="8" xr3:uid="{7E276E13-791B-4C2D-8945-4BC75456C011}" name="Mounting Type Fixture/Application" dataDxfId="422"/>
    <tableColumn id="9" xr3:uid="{B5797590-75FB-4A43-BA87-280062F9D412}" name="Mounting Height (ft)" dataDxfId="421"/>
    <tableColumn id="10" xr3:uid="{ED39F0C8-84AF-49D8-8276-A1B33479A96D}" name="Proposed Mounting Height (ft)" dataDxfId="420"/>
    <tableColumn id="11" xr3:uid="{9100E6FA-FA2E-4890-A7C3-9B3D8E87462C}" name="PASS/FAIL/EXISTING TO REMAIN" dataDxfId="419">
      <calculatedColumnFormula>IF('Res - Proposed Fixture analysis'!U42="More info needed","More info needed",_xlfn.IFNA(IF(AND(Project_Info23[[#This Row],[Proposed/Existing]]='Res - Proposed Fixture analysis'!$A$3,$D$76="No"),"Existing to Remain",'Res - Proposed Fixture analysis'!U42),""))</calculatedColumnFormula>
    </tableColumn>
    <tableColumn id="12" xr3:uid="{8CD7AC6B-5961-4E0E-85E8-9EC7EE33B0A5}" name="Errors" dataDxfId="418">
      <calculatedColumnFormula>_xlfn.IFNA(_xlfn.TEXTJOIN(" ",TRUE,'Res - Proposed Fixture analysis'!E42,'Res - Proposed Fixture analysis'!F42,'Res - Proposed Fixture analysis'!H42,'Res - Proposed Fixture analysis'!I42,'Res - Proposed Fixture analysis'!J42,'Res - Proposed Fixture analysis'!L42)&amp;".","")</calculatedColumnFormula>
    </tableColumn>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EC9C472D-7900-4B6F-A375-AB266BE246C7}" name="Lumen_Analysis2025" displayName="Lumen_Analysis2025" ref="C104:I107" totalsRowShown="0" headerRowDxfId="417" dataDxfId="415" headerRowBorderDxfId="416" tableBorderDxfId="414" totalsRowBorderDxfId="413">
  <autoFilter ref="C104:I107" xr:uid="{18BFCDDB-F8CC-4DCD-B001-CE42DA65A66E}"/>
  <tableColumns count="7">
    <tableColumn id="1" xr3:uid="{EDF4CBDB-E688-4A6E-B468-F95C2ABE9797}" name="Description" dataDxfId="412"/>
    <tableColumn id="3" xr3:uid="{19346EA6-6125-4B35-B057-A9D3456A272E}" name="Existing Parcel Analysis" dataDxfId="411"/>
    <tableColumn id="4" xr3:uid="{8D5D4173-9A3C-40F1-B3BF-502ABEEC0897}" name="Unit" dataDxfId="410"/>
    <tableColumn id="2" xr3:uid="{7EB7013A-E0EC-42AE-8FEB-DA6B05D56D8A}" name="Proposed Parcel Analysis" dataDxfId="409">
      <calculatedColumnFormula>D72</calculatedColumnFormula>
    </tableColumn>
    <tableColumn id="7" xr3:uid="{DA15C4B1-ABEE-4AAC-A8F7-35DD23738C7D}" name="Units" dataDxfId="408"/>
    <tableColumn id="5" xr3:uid="{00290573-BB1D-408D-BBB5-0F7F000AF88F}" name="PASS/FAIL" dataDxfId="407">
      <calculatedColumnFormula>IF(Lumen_Analysis2025[[#This Row],[Proposed Parcel Analysis]]&gt;Lumen_Analysis2025[[#This Row],[Existing Parcel Analysis]],"FAIL","PASS")</calculatedColumnFormula>
    </tableColumn>
    <tableColumn id="6" xr3:uid="{769C7811-A5B7-450A-9A5B-245B3A34CD90}" name="Notes" dataDxfId="406">
      <calculatedColumnFormula>IF(Lumen_Analysis2025[[#This Row],[PASS/FAIL]]="FAIL","Proposed cannot exceed existing","")</calculatedColumnFormula>
    </tableColumn>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61734562-B2AF-4D71-BCBA-C7A0BB361CA6}" name="Parcel_Info" displayName="Parcel_Info" ref="C26:E37" totalsRowShown="0" headerRowDxfId="405" dataDxfId="403" headerRowBorderDxfId="404" tableBorderDxfId="402" totalsRowBorderDxfId="401">
  <autoFilter ref="C26:E37" xr:uid="{61734562-B2AF-4D71-BCBA-C7A0BB361CA6}"/>
  <tableColumns count="3">
    <tableColumn id="1" xr3:uid="{76909E61-D7DE-4E55-B961-38209C659347}" name="Description" dataDxfId="400"/>
    <tableColumn id="3" xr3:uid="{6631CB8A-E067-4948-A717-E3CE9CE5A1F2}" name="Data" dataDxfId="399"/>
    <tableColumn id="4" xr3:uid="{7B13A908-C45D-480F-BB9F-FE509A42D0D4}" name="Units" dataDxfId="398"/>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FBDA8F0-61B9-475B-BAF5-6556FEBF46A5}" name="Lumen_Analysis" displayName="Lumen_Analysis" ref="C67:G74" totalsRowShown="0" headerRowDxfId="397" dataDxfId="395" headerRowBorderDxfId="396" tableBorderDxfId="394" totalsRowBorderDxfId="393">
  <autoFilter ref="C67:G74" xr:uid="{FFBDA8F0-61B9-475B-BAF5-6556FEBF46A5}"/>
  <tableColumns count="5">
    <tableColumn id="1" xr3:uid="{55DD277B-C135-42E3-9309-FED098EEEFBB}" name="Description" dataDxfId="392"/>
    <tableColumn id="3" xr3:uid="{CF0FFA67-E006-4BAC-830F-B1BB35AEA29B}" name="Data" dataDxfId="391"/>
    <tableColumn id="4" xr3:uid="{57CD6E3D-B45C-47F9-BAFB-3D2DA84EBB36}" name="Unit" dataDxfId="390"/>
    <tableColumn id="5" xr3:uid="{F1CFF537-0B46-411A-9106-B687AE51CC7A}" name="PASS/FAIL" dataDxfId="389"/>
    <tableColumn id="6" xr3:uid="{55ADA0CC-A3F9-4DA0-94CD-804FF9E2F9BB}" name="Notes" dataDxfId="388"/>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0CFB0D3-0A61-4326-AC07-ACC255A7D04C}" name="Project_Info" displayName="Project_Info" ref="C51:N63" totalsRowShown="0" headerRowDxfId="387" dataDxfId="386" tableBorderDxfId="385">
  <autoFilter ref="C51:N63" xr:uid="{40CFB0D3-0A61-4326-AC07-ACC255A7D04C}"/>
  <tableColumns count="12">
    <tableColumn id="4" xr3:uid="{35601DD5-FFC0-4480-AEB6-9CA8407CBC53}" name="Fixture Label (as shown on lighting plan)" dataDxfId="384"/>
    <tableColumn id="1" xr3:uid="{FDADCAD7-A02A-45B2-B91A-D8C992B8B8F3}" name="Fixture Type " dataDxfId="383"/>
    <tableColumn id="17" xr3:uid="{17CCEC4F-791C-418A-AC0A-9BF2A5508107}" name="Proposed/Existing" dataDxfId="382"/>
    <tableColumn id="3" xr3:uid="{C6AA1FF7-61C2-422F-B101-3EB67958C466}" name="Lumens" dataDxfId="381"/>
    <tableColumn id="5" xr3:uid="{A2C0D82E-A512-4EB9-B3D0-364B921543BC}" name="Quantity" dataDxfId="380"/>
    <tableColumn id="6" xr3:uid="{9AA2F853-8983-4A05-A2DA-22A119444D37}" name="Total Lumens" dataDxfId="379">
      <calculatedColumnFormula>Project_Info[[#This Row],[Quantity]]*Project_Info[[#This Row],[Lumens]]</calculatedColumnFormula>
    </tableColumn>
    <tableColumn id="7" xr3:uid="{95B09145-9B96-4B34-97F2-2459344AE801}" name="Specified CCT" dataDxfId="378"/>
    <tableColumn id="8" xr3:uid="{6F5047E0-E762-4ED9-9807-27B14D958425}" name="Mounting Type Fixture/Application" dataDxfId="377"/>
    <tableColumn id="10" xr3:uid="{462D4010-291D-49DD-BF24-259E6FBCC1E9}" name="Maximum Mounting Height (ft)" dataDxfId="376">
      <calculatedColumnFormula>IF(OR(Project_Info[[#This Row],[Mounting Type Fixture/Application]]=0,Project_Info[[#This Row],[Mounting Type Fixture/Application]]="Choose from dropdown"),"",VLOOKUP(Project_Info[[#This Row],[Mounting Type Fixture/Application]],'Res - Ordinance Values'!$B$9:$C$20,2,FALSE))</calculatedColumnFormula>
    </tableColumn>
    <tableColumn id="9" xr3:uid="{EED04043-4572-48B4-B812-BD6406D9DE6B}" name="Proposed Mounting Height (ft)" dataDxfId="375"/>
    <tableColumn id="15" xr3:uid="{3A52A5E4-0E51-4683-AD55-7EA6352D6B41}" name="PASS/FAIL/EXISTING TO REMAIN" dataDxfId="374">
      <calculatedColumnFormula>IF('Res - Proposed Fixture analysis'!U6="More info needed","More info needed",_xlfn.IFNA(IF(AND(Project_Info[[#This Row],[Proposed/Existing]]='Res - Proposed Fixture analysis'!$A$3,$D$76="No"),"Existing to Remain",'Res - Proposed Fixture analysis'!U6),""))</calculatedColumnFormula>
    </tableColumn>
    <tableColumn id="16" xr3:uid="{3F0D8B17-57BA-4819-9F24-25407FC5A54F}" name="Errors" dataDxfId="373">
      <calculatedColumnFormula>_xlfn.IFNA(_xlfn.TEXTJOIN(" ",TRUE,'Res - Proposed Fixture analysis'!E6,'Res - Proposed Fixture analysis'!F6,'Res - Proposed Fixture analysis'!H6,'Res - Proposed Fixture analysis'!I6,'Res - Proposed Fixture analysis'!J6,'Res - Proposed Fixture analysis'!L6)&amp;".","")</calculatedColumnFormula>
    </tableColumn>
  </tableColumns>
  <tableStyleInfo name="TableStyleLight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3B9356F-0632-4EFE-B5AC-623C8627B1C8}" name="Existing_Info" displayName="Existing_Info" ref="C87:N99" totalsRowShown="0" headerRowDxfId="372" dataDxfId="371" tableBorderDxfId="370">
  <autoFilter ref="C87:N99" xr:uid="{43B9356F-0632-4EFE-B5AC-623C8627B1C8}"/>
  <tableColumns count="12">
    <tableColumn id="15" xr3:uid="{E2AAE615-620A-4CF3-B994-0EFEB98AC961}" name="Fixture Label (as shown on lighting plan)" dataDxfId="369"/>
    <tableColumn id="4" xr3:uid="{E93B4C73-3A7F-4B2E-90B3-E09CA0B345DF}" name="Fixture Type" dataDxfId="368"/>
    <tableColumn id="1" xr3:uid="{59C37361-5DAF-4A78-A948-BF16F774E713}" name="Existing to Remain / To Be Removed" dataDxfId="367"/>
    <tableColumn id="3" xr3:uid="{FE034485-48AC-4D2C-9752-DDE2C8346FE7}" name="Lumens" dataDxfId="366"/>
    <tableColumn id="5" xr3:uid="{45FDD53C-E9E5-443F-9222-690E282DB773}" name="Quantity" dataDxfId="365"/>
    <tableColumn id="6" xr3:uid="{75AE0FAD-CB5B-48BE-ACB4-F63647BD05EB}" name="Total Lumens" dataDxfId="364">
      <calculatedColumnFormula>F88*G88</calculatedColumnFormula>
    </tableColumn>
    <tableColumn id="7" xr3:uid="{972349CE-9A46-45D0-AB98-38B9B5C05A80}" name="Specified CCT" dataDxfId="363"/>
    <tableColumn id="8" xr3:uid="{724E5DB3-6759-4023-A35E-00590AFDA7A4}" name="Mounting Type Fixture/Application" dataDxfId="362"/>
    <tableColumn id="9" xr3:uid="{8E4D2D9C-58FB-4E1B-B077-E665001D717D}" name="Maximum Mounting Height (ft)" dataDxfId="361">
      <calculatedColumnFormula>IF(OR(Existing_Info[[#This Row],[Mounting Type Fixture/Application]]="Choose from dropdown",Existing_Info[[#This Row],[Mounting Type Fixture/Application]]=0),"",VLOOKUP(Existing_Info[[#This Row],[Mounting Type Fixture/Application]],'Res - Ordinance Values'!$B$9:$C$20,2,FALSE))</calculatedColumnFormula>
    </tableColumn>
    <tableColumn id="11" xr3:uid="{BA5C1FE0-3AF1-4E58-A838-020BD7461A19}" name="Mounting Height (ft)" dataDxfId="360"/>
    <tableColumn id="10" xr3:uid="{3F3EEFCC-9EDD-48BC-A9F3-CE8DD2E37B02}" name="PASS/ FAIL/EXISTING TO REMAIN" dataDxfId="359">
      <calculatedColumnFormula>'Res - Proposed Fixture analysis'!U41</calculatedColumnFormula>
    </tableColumn>
    <tableColumn id="12" xr3:uid="{364F05D5-77C1-4E71-BEE6-6B584DCEC90A}" name="Errors" dataDxfId="358">
      <calculatedColumnFormula>_xlfn.IFNA(_xlfn.TEXTJOIN(" ",TRUE,'Res - Proposed Fixture analysis'!E41,'Res - Proposed Fixture analysis'!F41,'Res - Proposed Fixture analysis'!H41,'Res - Proposed Fixture analysis'!I41,'Res - Proposed Fixture analysis'!J41,'Res - Proposed Fixture analysis'!L41)&amp;".","")</calculatedColumnFormula>
    </tableColumn>
  </tableColumns>
  <tableStyleInfo name="TableStyleLight1"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9" dT="2023-12-13T18:40:30.38" personId="{6656FA6F-D509-4030-BF3D-B0404CBF0F6B}" id="{9DB7A7A9-849A-4DB0-94C0-F74AE1070B61}">
    <text>Counts if the values are greater than zero - can't have more than four filled out</text>
  </threadedComment>
  <threadedComment ref="E10" dT="2023-12-13T18:40:46.62" personId="{6656FA6F-D509-4030-BF3D-B0404CBF0F6B}" id="{FBAB8B35-0E61-413D-A43F-1D413710EF5C}">
    <text>Counts blanks</text>
  </threadedComment>
</ThreadedComments>
</file>

<file path=xl/worksheets/_rels/sheet10.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table" Target="../tables/table15.xml"/><Relationship Id="rId5" Type="http://schemas.openxmlformats.org/officeDocument/2006/relationships/table" Target="../tables/table14.xml"/><Relationship Id="rId10" Type="http://schemas.openxmlformats.org/officeDocument/2006/relationships/table" Target="../tables/table19.xml"/><Relationship Id="rId4" Type="http://schemas.openxmlformats.org/officeDocument/2006/relationships/table" Target="../tables/table13.xml"/><Relationship Id="rId9" Type="http://schemas.openxmlformats.org/officeDocument/2006/relationships/table" Target="../tables/table18.xml"/></Relationships>
</file>

<file path=xl/worksheets/_rels/sheet11.xml.rels><?xml version="1.0" encoding="UTF-8" standalone="yes"?>
<Relationships xmlns="http://schemas.openxmlformats.org/package/2006/relationships"><Relationship Id="rId8" Type="http://schemas.openxmlformats.org/officeDocument/2006/relationships/table" Target="../tables/table25.xml"/><Relationship Id="rId3" Type="http://schemas.openxmlformats.org/officeDocument/2006/relationships/table" Target="../tables/table20.xml"/><Relationship Id="rId7" Type="http://schemas.openxmlformats.org/officeDocument/2006/relationships/table" Target="../tables/table24.x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table" Target="../tables/table23.xml"/><Relationship Id="rId5" Type="http://schemas.openxmlformats.org/officeDocument/2006/relationships/table" Target="../tables/table22.xml"/><Relationship Id="rId10" Type="http://schemas.openxmlformats.org/officeDocument/2006/relationships/table" Target="../tables/table27.xml"/><Relationship Id="rId4" Type="http://schemas.openxmlformats.org/officeDocument/2006/relationships/table" Target="../tables/table21.xml"/><Relationship Id="rId9"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4.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table" Target="../tables/table29.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3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library.municode.com/co/aspen/codes/municipal_code?nodeId=TIT26LAUSRE_PT500SURE_CH26.512OULI"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7" Type="http://schemas.openxmlformats.org/officeDocument/2006/relationships/table" Target="../tables/table10.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s>
</file>

<file path=xl/worksheets/_rels/sheet8.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48BCF-2330-4595-9970-29B91ABD0C22}">
  <dimension ref="B3:C4"/>
  <sheetViews>
    <sheetView workbookViewId="0">
      <selection activeCell="C14" sqref="C14"/>
    </sheetView>
  </sheetViews>
  <sheetFormatPr defaultRowHeight="14.4" x14ac:dyDescent="0.3"/>
  <cols>
    <col min="2" max="2" width="9.5546875" bestFit="1" customWidth="1"/>
    <col min="3" max="3" width="102.21875" customWidth="1"/>
  </cols>
  <sheetData>
    <row r="3" spans="2:3" ht="46.2" customHeight="1" x14ac:dyDescent="0.3">
      <c r="B3" s="327">
        <v>45811</v>
      </c>
      <c r="C3" s="1" t="s">
        <v>427</v>
      </c>
    </row>
    <row r="4" spans="2:3" x14ac:dyDescent="0.3">
      <c r="B4" s="327">
        <v>45888</v>
      </c>
      <c r="C4" t="s">
        <v>428</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5E91F-79E1-4E50-96F7-E6BD961E2606}">
  <sheetPr>
    <tabColor rgb="FFFF0000"/>
  </sheetPr>
  <dimension ref="A1:V132"/>
  <sheetViews>
    <sheetView showGridLines="0" zoomScale="60" zoomScaleNormal="60" zoomScalePageLayoutView="70" workbookViewId="0">
      <selection activeCell="L34" sqref="L34:L37"/>
    </sheetView>
  </sheetViews>
  <sheetFormatPr defaultColWidth="8.88671875" defaultRowHeight="15" x14ac:dyDescent="0.3"/>
  <cols>
    <col min="1" max="1" width="6.21875" style="105" customWidth="1"/>
    <col min="2" max="2" width="5" style="105" customWidth="1"/>
    <col min="3" max="3" width="29.33203125" style="105" customWidth="1"/>
    <col min="4" max="4" width="32.109375" style="105" customWidth="1"/>
    <col min="5" max="5" width="24" style="105" customWidth="1"/>
    <col min="6" max="6" width="20.21875" style="105" customWidth="1"/>
    <col min="7" max="7" width="62.109375" style="105" customWidth="1"/>
    <col min="8" max="8" width="19.5546875" style="105" customWidth="1"/>
    <col min="9" max="9" width="30.109375" style="105" customWidth="1"/>
    <col min="10" max="10" width="40.6640625" style="105" customWidth="1"/>
    <col min="11" max="11" width="28.5546875" style="105" customWidth="1"/>
    <col min="12" max="12" width="30.88671875" style="155" customWidth="1"/>
    <col min="13" max="13" width="35.5546875" style="155" customWidth="1"/>
    <col min="14" max="14" width="31.21875" style="155" customWidth="1"/>
    <col min="15" max="15" width="31.5546875" style="105" customWidth="1"/>
    <col min="16" max="16" width="30.33203125" style="105" customWidth="1"/>
    <col min="17" max="17" width="37.6640625" style="105" customWidth="1"/>
    <col min="18" max="18" width="67.88671875" style="105" customWidth="1"/>
    <col min="19" max="19" width="8.44140625" style="105" bestFit="1" customWidth="1"/>
    <col min="20" max="16384" width="8.88671875" style="105"/>
  </cols>
  <sheetData>
    <row r="1" spans="2:19" ht="43.05" customHeight="1" thickBot="1" x14ac:dyDescent="0.35"/>
    <row r="2" spans="2:19" ht="14.55" customHeight="1" x14ac:dyDescent="0.25">
      <c r="B2" s="532" t="s">
        <v>412</v>
      </c>
      <c r="C2" s="533"/>
      <c r="D2" s="533"/>
      <c r="E2" s="533"/>
      <c r="F2" s="533"/>
      <c r="G2" s="533"/>
      <c r="H2" s="534"/>
      <c r="I2" s="137"/>
    </row>
    <row r="3" spans="2:19" ht="15.6" x14ac:dyDescent="0.3">
      <c r="B3" s="535"/>
      <c r="C3" s="536"/>
      <c r="D3" s="536"/>
      <c r="E3" s="536"/>
      <c r="F3" s="536"/>
      <c r="G3" s="536"/>
      <c r="H3" s="537"/>
      <c r="I3" s="163"/>
    </row>
    <row r="4" spans="2:19" ht="15.6" x14ac:dyDescent="0.3">
      <c r="B4" s="535"/>
      <c r="C4" s="536"/>
      <c r="D4" s="536"/>
      <c r="E4" s="536"/>
      <c r="F4" s="536"/>
      <c r="G4" s="536"/>
      <c r="H4" s="537"/>
      <c r="I4" s="163"/>
      <c r="J4" s="163"/>
    </row>
    <row r="5" spans="2:19" ht="41.55" customHeight="1" thickBot="1" x14ac:dyDescent="0.35">
      <c r="B5" s="538"/>
      <c r="C5" s="539"/>
      <c r="D5" s="539"/>
      <c r="E5" s="539"/>
      <c r="F5" s="539"/>
      <c r="G5" s="539"/>
      <c r="H5" s="540"/>
      <c r="I5" s="163"/>
      <c r="J5" s="163"/>
      <c r="M5" s="164"/>
      <c r="N5" s="164"/>
      <c r="O5" s="164"/>
      <c r="P5" s="164"/>
      <c r="Q5" s="164"/>
      <c r="R5" s="164"/>
      <c r="S5" s="164"/>
    </row>
    <row r="6" spans="2:19" ht="110.55" customHeight="1" thickBot="1" x14ac:dyDescent="0.35">
      <c r="B6" s="130" t="str">
        <f>'Res Compliance Calculator'!B6</f>
        <v>Version 2.1 (08/19/2025)</v>
      </c>
      <c r="C6" s="163"/>
      <c r="D6" s="163"/>
      <c r="E6" s="163"/>
      <c r="F6" s="163"/>
      <c r="G6" s="137"/>
      <c r="H6" s="163"/>
      <c r="I6" s="163"/>
      <c r="J6" s="163"/>
      <c r="K6" s="165"/>
      <c r="L6" s="165"/>
      <c r="M6" s="165"/>
      <c r="N6" s="165"/>
      <c r="O6" s="165"/>
      <c r="P6" s="165"/>
      <c r="Q6" s="165"/>
      <c r="R6" s="166"/>
      <c r="S6" s="164"/>
    </row>
    <row r="7" spans="2:19" ht="25.05" customHeight="1" x14ac:dyDescent="0.3">
      <c r="B7" s="541" t="s">
        <v>84</v>
      </c>
      <c r="C7" s="542"/>
      <c r="D7" s="542"/>
      <c r="E7" s="543" t="s">
        <v>399</v>
      </c>
      <c r="F7" s="543"/>
      <c r="G7" s="543"/>
      <c r="H7" s="543"/>
      <c r="I7" s="543"/>
      <c r="J7" s="544"/>
      <c r="K7" s="165"/>
      <c r="L7" s="165"/>
      <c r="M7" s="165"/>
      <c r="N7" s="165"/>
      <c r="O7" s="165"/>
      <c r="P7" s="165"/>
      <c r="Q7" s="165"/>
      <c r="R7" s="166"/>
      <c r="S7" s="164"/>
    </row>
    <row r="8" spans="2:19" ht="25.05" customHeight="1" x14ac:dyDescent="0.3">
      <c r="B8" s="545" t="s">
        <v>85</v>
      </c>
      <c r="C8" s="546"/>
      <c r="D8" s="546"/>
      <c r="E8" s="547"/>
      <c r="F8" s="547"/>
      <c r="G8" s="547"/>
      <c r="H8" s="547"/>
      <c r="I8" s="547"/>
      <c r="J8" s="548"/>
      <c r="K8" s="165"/>
      <c r="L8" s="165"/>
      <c r="M8" s="165"/>
      <c r="N8" s="165"/>
      <c r="O8" s="165"/>
      <c r="P8" s="165"/>
      <c r="Q8" s="165"/>
      <c r="R8" s="166"/>
      <c r="S8" s="164"/>
    </row>
    <row r="9" spans="2:19" ht="25.05" customHeight="1" x14ac:dyDescent="0.3">
      <c r="B9" s="545" t="s">
        <v>86</v>
      </c>
      <c r="C9" s="546"/>
      <c r="D9" s="546"/>
      <c r="E9" s="549"/>
      <c r="F9" s="549"/>
      <c r="G9" s="549"/>
      <c r="H9" s="549"/>
      <c r="I9" s="549"/>
      <c r="J9" s="550"/>
      <c r="K9" s="165"/>
      <c r="L9" s="165"/>
      <c r="M9" s="165"/>
      <c r="N9" s="165"/>
      <c r="O9" s="165"/>
      <c r="P9" s="165"/>
      <c r="Q9" s="165"/>
      <c r="R9" s="166"/>
      <c r="S9" s="164"/>
    </row>
    <row r="10" spans="2:19" ht="25.05" customHeight="1" x14ac:dyDescent="0.3">
      <c r="B10" s="545" t="s">
        <v>106</v>
      </c>
      <c r="C10" s="546"/>
      <c r="D10" s="546"/>
      <c r="E10" s="551" t="s">
        <v>404</v>
      </c>
      <c r="F10" s="551"/>
      <c r="G10" s="551"/>
      <c r="H10" s="551"/>
      <c r="I10" s="551"/>
      <c r="J10" s="552"/>
      <c r="K10" s="165"/>
      <c r="L10" s="165"/>
      <c r="M10" s="165"/>
      <c r="N10" s="165"/>
      <c r="O10" s="165"/>
      <c r="P10" s="165"/>
      <c r="Q10" s="165"/>
      <c r="R10" s="166"/>
      <c r="S10" s="164"/>
    </row>
    <row r="11" spans="2:19" ht="25.05" customHeight="1" thickBot="1" x14ac:dyDescent="0.35">
      <c r="B11" s="553" t="s">
        <v>329</v>
      </c>
      <c r="C11" s="554"/>
      <c r="D11" s="554"/>
      <c r="E11" s="555"/>
      <c r="F11" s="490"/>
      <c r="G11" s="490"/>
      <c r="H11" s="490"/>
      <c r="I11" s="490"/>
      <c r="J11" s="556"/>
      <c r="K11" s="165"/>
      <c r="L11" s="165"/>
      <c r="M11" s="165"/>
      <c r="N11" s="165"/>
      <c r="O11" s="165"/>
      <c r="P11" s="165"/>
      <c r="Q11" s="165"/>
      <c r="R11" s="166"/>
      <c r="S11" s="164"/>
    </row>
    <row r="12" spans="2:19" ht="15.6" x14ac:dyDescent="0.3">
      <c r="B12" s="130"/>
      <c r="C12" s="358"/>
      <c r="D12" s="358"/>
      <c r="E12" s="162"/>
      <c r="F12" s="1"/>
      <c r="G12" s="1"/>
      <c r="H12" s="1"/>
      <c r="I12" s="1"/>
      <c r="J12" s="1"/>
      <c r="K12" s="165"/>
      <c r="L12" s="165"/>
      <c r="M12" s="165"/>
      <c r="N12" s="165"/>
      <c r="O12" s="165"/>
      <c r="P12" s="165"/>
      <c r="Q12" s="165"/>
      <c r="R12" s="166"/>
      <c r="S12" s="164"/>
    </row>
    <row r="13" spans="2:19" ht="39" customHeight="1" x14ac:dyDescent="0.3">
      <c r="B13" s="557" t="s">
        <v>332</v>
      </c>
      <c r="C13" s="494"/>
      <c r="D13" s="494"/>
      <c r="E13" s="494"/>
      <c r="F13" s="494"/>
      <c r="G13" s="494"/>
      <c r="H13" s="494"/>
      <c r="I13" s="1"/>
      <c r="J13" s="1"/>
      <c r="K13" s="165"/>
      <c r="L13" s="165"/>
      <c r="M13" s="165"/>
      <c r="N13" s="165"/>
      <c r="O13" s="165"/>
      <c r="P13" s="165"/>
      <c r="Q13" s="165"/>
      <c r="R13" s="166"/>
      <c r="S13" s="164"/>
    </row>
    <row r="14" spans="2:19" ht="15.6" x14ac:dyDescent="0.3">
      <c r="B14" s="130"/>
      <c r="C14" s="25"/>
      <c r="D14" s="130"/>
      <c r="E14" s="25"/>
      <c r="F14" s="134"/>
      <c r="G14" s="25"/>
      <c r="H14" s="25"/>
      <c r="I14" s="25"/>
      <c r="J14" s="25"/>
      <c r="K14" s="165"/>
      <c r="L14" s="165"/>
      <c r="M14" s="165"/>
      <c r="N14" s="165"/>
      <c r="O14" s="165"/>
      <c r="P14" s="165"/>
      <c r="Q14" s="165"/>
      <c r="R14" s="166"/>
      <c r="S14" s="164"/>
    </row>
    <row r="15" spans="2:19" ht="15.6" x14ac:dyDescent="0.3">
      <c r="B15" s="167" t="s">
        <v>208</v>
      </c>
      <c r="C15" s="25"/>
      <c r="D15" s="130"/>
      <c r="E15" s="25"/>
      <c r="F15" s="134"/>
      <c r="G15" s="25"/>
      <c r="H15" s="25"/>
      <c r="I15" s="25"/>
      <c r="J15" s="25"/>
      <c r="K15" s="165"/>
      <c r="L15" s="165"/>
      <c r="M15" s="165"/>
      <c r="N15" s="165"/>
      <c r="O15" s="165"/>
      <c r="P15" s="165"/>
      <c r="Q15" s="165"/>
      <c r="R15" s="166"/>
      <c r="S15" s="164"/>
    </row>
    <row r="16" spans="2:19" ht="15.6" x14ac:dyDescent="0.3">
      <c r="B16" s="167" t="str">
        <f>'Res Compliance Calculator'!B14</f>
        <v xml:space="preserve">This tool is generally not required when replacing an existing fixture with a fully shielded fixture. </v>
      </c>
      <c r="C16" s="25"/>
      <c r="D16" s="130"/>
      <c r="E16" s="25"/>
      <c r="F16" s="134"/>
      <c r="G16" s="25"/>
      <c r="H16" s="25"/>
      <c r="I16" s="25"/>
      <c r="J16" s="25"/>
      <c r="K16" s="165"/>
      <c r="L16" s="165"/>
      <c r="M16" s="165"/>
      <c r="N16" s="165"/>
      <c r="O16" s="165"/>
      <c r="P16" s="165"/>
      <c r="Q16" s="165"/>
      <c r="R16" s="166"/>
      <c r="S16" s="164"/>
    </row>
    <row r="17" spans="1:21" ht="18" customHeight="1" x14ac:dyDescent="0.3">
      <c r="B17" s="130" t="str">
        <f>'Res Compliance Calculator'!B15</f>
        <v xml:space="preserve">All regulations are laid out in 26.512 - Outdoor Lighting. </v>
      </c>
      <c r="C17" s="25"/>
      <c r="D17" s="130"/>
      <c r="E17" s="25"/>
      <c r="F17" s="134"/>
      <c r="G17" s="25"/>
      <c r="H17" s="25"/>
      <c r="I17" s="25"/>
      <c r="J17" s="25"/>
      <c r="K17" s="165"/>
      <c r="L17" s="165"/>
      <c r="M17" s="165"/>
      <c r="N17" s="165"/>
      <c r="O17" s="165"/>
      <c r="P17" s="165"/>
      <c r="Q17" s="165"/>
      <c r="R17" s="166"/>
      <c r="S17" s="164"/>
    </row>
    <row r="18" spans="1:21" ht="18" customHeight="1" x14ac:dyDescent="0.3">
      <c r="B18" s="130">
        <v>1</v>
      </c>
      <c r="C18" s="137" t="str">
        <f>'Res Compliance Calculator'!C16</f>
        <v>Fill out Tables 1a and 1b</v>
      </c>
      <c r="D18" s="130"/>
      <c r="E18" s="25"/>
      <c r="F18" s="25"/>
      <c r="G18" s="25"/>
      <c r="H18" s="25"/>
      <c r="I18" s="25"/>
      <c r="J18" s="25"/>
      <c r="K18" s="165"/>
      <c r="L18" s="165"/>
      <c r="M18" s="165"/>
      <c r="N18" s="165"/>
      <c r="O18" s="165"/>
      <c r="P18" s="165"/>
      <c r="Q18" s="165"/>
      <c r="R18" s="166"/>
      <c r="S18" s="164"/>
    </row>
    <row r="19" spans="1:21" ht="20.55" customHeight="1" x14ac:dyDescent="0.3">
      <c r="B19" s="130">
        <v>2</v>
      </c>
      <c r="C19" s="134" t="str">
        <f>'Res Compliance Calculator'!C17</f>
        <v>Fill out proposed project information - Tables 2a-c. This should include all fixtures that will be on the parcel at final inspection. Include any fixtures that are to remain as well as any new/replaced fixtures.</v>
      </c>
      <c r="D19" s="130"/>
      <c r="E19" s="25"/>
      <c r="F19" s="25"/>
      <c r="G19" s="25"/>
      <c r="H19" s="25"/>
      <c r="I19" s="25"/>
      <c r="J19" s="25"/>
      <c r="K19" s="165"/>
      <c r="L19" s="165"/>
      <c r="M19" s="165"/>
      <c r="N19" s="165"/>
      <c r="O19" s="165"/>
      <c r="P19" s="165"/>
      <c r="Q19" s="165"/>
      <c r="R19" s="166"/>
      <c r="S19" s="164"/>
    </row>
    <row r="20" spans="1:21" ht="19.8" customHeight="1" x14ac:dyDescent="0.3">
      <c r="B20" s="130"/>
      <c r="C20" s="134" t="str">
        <f>'Res Compliance Calculator'!C18</f>
        <v>If the scope does not trigger the entire property into compliance and the proposed project does not comply, fill out Tables 3a-3c. Please note that all parcels within City limits must comply by December 15, 2028.</v>
      </c>
      <c r="D20" s="130"/>
      <c r="E20" s="25"/>
      <c r="F20" s="25"/>
      <c r="G20" s="25"/>
      <c r="H20" s="25"/>
      <c r="I20" s="25"/>
      <c r="J20" s="25"/>
      <c r="K20" s="165"/>
      <c r="L20" s="165"/>
      <c r="M20" s="165"/>
      <c r="N20" s="165"/>
      <c r="O20" s="165"/>
      <c r="P20" s="165"/>
      <c r="Q20" s="165"/>
      <c r="R20" s="166"/>
      <c r="S20" s="164"/>
    </row>
    <row r="21" spans="1:21" ht="17.55" customHeight="1" x14ac:dyDescent="0.3">
      <c r="B21" s="130">
        <v>3</v>
      </c>
      <c r="C21" s="493" t="str">
        <f>'Res Compliance Calculator'!C19</f>
        <v>Note: if the scope does not trigger the entire property into compliance, only new and replaced fixtures need to comply with the adopted regulations. If the proposal decreases the non-conformity but does not eliminate it, Table 4: Existing Site Analysis, must be filled out. Non-conformities cannot be increased - the proposed lumens on the site must decrease (or conform), the percentage of unshielded/partially shielded fixtures must decrease (or conform), and any new or replaced fixtures must conform with shielding requirements.</v>
      </c>
      <c r="D21" s="494"/>
      <c r="E21" s="494"/>
      <c r="F21" s="494"/>
      <c r="G21" s="494"/>
      <c r="H21" s="494"/>
      <c r="I21" s="162"/>
      <c r="J21" s="162"/>
      <c r="K21" s="165"/>
      <c r="L21" s="165"/>
      <c r="M21" s="165"/>
      <c r="N21" s="165"/>
      <c r="O21" s="165"/>
      <c r="P21" s="165"/>
      <c r="Q21" s="165"/>
      <c r="R21" s="166"/>
      <c r="S21" s="164"/>
    </row>
    <row r="22" spans="1:21" ht="45" customHeight="1" x14ac:dyDescent="0.3">
      <c r="B22" s="130"/>
      <c r="C22" s="494"/>
      <c r="D22" s="494"/>
      <c r="E22" s="494"/>
      <c r="F22" s="494"/>
      <c r="G22" s="494"/>
      <c r="H22" s="494"/>
      <c r="I22" s="162"/>
      <c r="J22" s="162"/>
      <c r="K22" s="165"/>
      <c r="L22" s="165"/>
      <c r="M22" s="165"/>
      <c r="N22" s="165"/>
      <c r="O22" s="165"/>
      <c r="P22" s="165"/>
      <c r="Q22" s="165"/>
      <c r="R22" s="166"/>
      <c r="S22" s="164"/>
    </row>
    <row r="23" spans="1:21" ht="15.6" x14ac:dyDescent="0.3">
      <c r="B23" s="130">
        <v>4</v>
      </c>
      <c r="C23" s="137" t="str">
        <f>'Res Compliance Calculator'!C21</f>
        <v>Submit this calculator in excel format as part of the permit submission.</v>
      </c>
      <c r="D23" s="130"/>
      <c r="E23" s="25"/>
      <c r="F23" s="25"/>
      <c r="G23" s="25"/>
      <c r="H23" s="25"/>
      <c r="I23" s="25"/>
      <c r="J23" s="25"/>
      <c r="K23" s="165"/>
      <c r="L23" s="165"/>
      <c r="M23" s="165"/>
      <c r="N23" s="165"/>
      <c r="O23" s="165"/>
      <c r="P23" s="165"/>
      <c r="Q23" s="165"/>
      <c r="R23" s="166"/>
      <c r="S23" s="164"/>
    </row>
    <row r="24" spans="1:21" ht="15.6" thickBot="1" x14ac:dyDescent="0.35">
      <c r="A24" s="331"/>
      <c r="B24" s="331"/>
      <c r="C24" s="331"/>
      <c r="D24" s="331"/>
      <c r="E24" s="331"/>
      <c r="F24" s="331"/>
      <c r="G24" s="331"/>
      <c r="H24" s="331"/>
      <c r="I24" s="331"/>
      <c r="J24" s="331"/>
      <c r="K24" s="331"/>
      <c r="L24" s="331"/>
      <c r="M24" s="331"/>
      <c r="N24" s="331"/>
      <c r="O24" s="331"/>
      <c r="P24" s="331"/>
      <c r="Q24" s="331"/>
      <c r="R24" s="331"/>
      <c r="S24" s="331"/>
      <c r="T24" s="331"/>
      <c r="U24" s="331"/>
    </row>
    <row r="25" spans="1:21" ht="36.450000000000003" customHeight="1" thickTop="1" thickBot="1" x14ac:dyDescent="0.35">
      <c r="B25" s="562" t="s">
        <v>320</v>
      </c>
      <c r="C25" s="562"/>
      <c r="L25" s="105"/>
      <c r="O25" s="155"/>
      <c r="P25" s="155"/>
      <c r="R25" s="166"/>
      <c r="S25" s="164"/>
    </row>
    <row r="26" spans="1:21" ht="33.75" customHeight="1" x14ac:dyDescent="0.3">
      <c r="C26" s="169" t="s">
        <v>124</v>
      </c>
      <c r="D26" s="170" t="s">
        <v>123</v>
      </c>
      <c r="E26" s="171" t="s">
        <v>69</v>
      </c>
      <c r="I26" s="172" t="s">
        <v>82</v>
      </c>
      <c r="J26" s="173"/>
      <c r="K26" s="174"/>
      <c r="L26" s="175"/>
      <c r="M26" s="176"/>
      <c r="N26" s="176"/>
      <c r="O26" s="176"/>
      <c r="P26" s="176"/>
    </row>
    <row r="27" spans="1:21" ht="46.2" customHeight="1" x14ac:dyDescent="0.25">
      <c r="C27" s="249" t="s">
        <v>1</v>
      </c>
      <c r="D27" s="359" t="s">
        <v>35</v>
      </c>
      <c r="E27" s="244"/>
      <c r="I27" s="149"/>
      <c r="J27" s="444" t="s">
        <v>160</v>
      </c>
      <c r="K27" s="450"/>
      <c r="L27" s="451"/>
      <c r="M27" s="176"/>
      <c r="N27" s="176"/>
      <c r="O27" s="176"/>
      <c r="P27" s="176"/>
    </row>
    <row r="28" spans="1:21" ht="46.2" customHeight="1" x14ac:dyDescent="0.3">
      <c r="B28" s="155"/>
      <c r="C28" s="248" t="s">
        <v>97</v>
      </c>
      <c r="D28" s="359" t="s">
        <v>53</v>
      </c>
      <c r="E28" s="244"/>
      <c r="I28" s="177"/>
      <c r="J28" s="447" t="s">
        <v>161</v>
      </c>
      <c r="K28" s="447"/>
      <c r="L28" s="571"/>
      <c r="M28" s="176"/>
      <c r="N28" s="176"/>
      <c r="O28" s="176"/>
      <c r="P28" s="176"/>
    </row>
    <row r="29" spans="1:21" ht="46.2" customHeight="1" x14ac:dyDescent="0.3">
      <c r="B29" s="155"/>
      <c r="C29" s="249" t="s">
        <v>2</v>
      </c>
      <c r="D29" s="253" t="str">
        <f>VLOOKUP(D27,'Ref - Zone Districts'!B2:D30,2,FALSE)</f>
        <v>LZ2</v>
      </c>
      <c r="E29" s="244"/>
      <c r="I29" s="178"/>
      <c r="J29" s="444" t="s">
        <v>83</v>
      </c>
      <c r="K29" s="450"/>
      <c r="L29" s="451"/>
      <c r="M29" s="176"/>
      <c r="N29" s="176"/>
      <c r="O29" s="176"/>
      <c r="P29" s="176"/>
    </row>
    <row r="30" spans="1:21" ht="46.2" customHeight="1" x14ac:dyDescent="0.25">
      <c r="B30" s="155"/>
      <c r="C30" s="241" t="s">
        <v>192</v>
      </c>
      <c r="D30" s="254">
        <f>VLOOKUP(D29,'Res - Ordinance Values'!B1:C5,2,FALSE)</f>
        <v>0.3</v>
      </c>
      <c r="E30" s="244" t="s">
        <v>89</v>
      </c>
      <c r="I30" s="152"/>
      <c r="J30" s="444" t="s">
        <v>91</v>
      </c>
      <c r="K30" s="450"/>
      <c r="L30" s="451"/>
      <c r="M30" s="105"/>
      <c r="N30" s="105"/>
    </row>
    <row r="31" spans="1:21" ht="70.95" customHeight="1" x14ac:dyDescent="0.25">
      <c r="B31" s="155"/>
      <c r="C31" s="241" t="s">
        <v>167</v>
      </c>
      <c r="D31" s="360" t="s">
        <v>170</v>
      </c>
      <c r="E31" s="244"/>
      <c r="I31" s="153"/>
      <c r="J31" s="444" t="s">
        <v>92</v>
      </c>
      <c r="K31" s="450"/>
      <c r="L31" s="451"/>
      <c r="M31" s="105"/>
      <c r="N31" s="105"/>
    </row>
    <row r="32" spans="1:21" ht="46.2" customHeight="1" thickBot="1" x14ac:dyDescent="0.35">
      <c r="B32" s="155"/>
      <c r="C32" s="241" t="s">
        <v>172</v>
      </c>
      <c r="D32" s="254" t="s">
        <v>72</v>
      </c>
      <c r="E32" s="244"/>
      <c r="I32" s="154" t="s">
        <v>179</v>
      </c>
      <c r="J32" s="452" t="s">
        <v>180</v>
      </c>
      <c r="K32" s="452"/>
      <c r="L32" s="453"/>
      <c r="M32" s="105"/>
      <c r="N32" s="105"/>
    </row>
    <row r="33" spans="1:22" ht="46.2" customHeight="1" thickBot="1" x14ac:dyDescent="0.3">
      <c r="B33" s="155"/>
      <c r="C33" s="249" t="s">
        <v>95</v>
      </c>
      <c r="D33" s="255" t="s">
        <v>96</v>
      </c>
      <c r="E33" s="244" t="s">
        <v>90</v>
      </c>
      <c r="L33" s="105"/>
      <c r="M33" s="25"/>
      <c r="N33" s="25"/>
      <c r="O33" s="25"/>
      <c r="P33" s="25"/>
    </row>
    <row r="34" spans="1:22" ht="86.25" customHeight="1" x14ac:dyDescent="0.3">
      <c r="B34" s="155"/>
      <c r="C34" s="241" t="s">
        <v>193</v>
      </c>
      <c r="D34" s="359"/>
      <c r="E34" s="244"/>
      <c r="I34" s="558" t="s">
        <v>88</v>
      </c>
      <c r="J34" s="561" t="s">
        <v>388</v>
      </c>
      <c r="K34" s="565" t="s">
        <v>105</v>
      </c>
      <c r="L34" s="568" t="s">
        <v>398</v>
      </c>
      <c r="M34" s="438" t="str">
        <f>IF(J34="TEMP PASS","City of Aspen Land Use Code requires all fixtures, including existing or current, to comply with this new lighting code by November 2028. Your current lighting plan leaves fixtures remaining that will be illegal on this date.","")</f>
        <v/>
      </c>
      <c r="N34" s="439"/>
      <c r="O34" s="439"/>
      <c r="P34" s="439"/>
    </row>
    <row r="35" spans="1:22" ht="1.2" customHeight="1" x14ac:dyDescent="0.3">
      <c r="B35" s="155"/>
      <c r="C35" s="245"/>
      <c r="D35" s="179"/>
      <c r="E35" s="246"/>
      <c r="I35" s="559"/>
      <c r="J35" s="562"/>
      <c r="K35" s="566"/>
      <c r="L35" s="569"/>
      <c r="M35" s="438"/>
      <c r="N35" s="439"/>
      <c r="O35" s="439"/>
      <c r="P35" s="439"/>
    </row>
    <row r="36" spans="1:22" ht="2.5499999999999998" customHeight="1" x14ac:dyDescent="0.3">
      <c r="B36" s="155"/>
      <c r="C36" s="245"/>
      <c r="D36" s="180"/>
      <c r="E36" s="246"/>
      <c r="I36" s="559"/>
      <c r="J36" s="563"/>
      <c r="K36" s="566"/>
      <c r="L36" s="569"/>
      <c r="M36" s="438"/>
      <c r="N36" s="439"/>
      <c r="O36" s="439"/>
      <c r="P36" s="439"/>
    </row>
    <row r="37" spans="1:22" ht="1.8" customHeight="1" thickBot="1" x14ac:dyDescent="0.35">
      <c r="B37" s="155"/>
      <c r="C37" s="247"/>
      <c r="D37" s="181"/>
      <c r="E37" s="246"/>
      <c r="I37" s="560"/>
      <c r="J37" s="564"/>
      <c r="K37" s="567"/>
      <c r="L37" s="570"/>
      <c r="M37" s="438"/>
      <c r="N37" s="439"/>
      <c r="O37" s="439"/>
      <c r="P37" s="439"/>
    </row>
    <row r="38" spans="1:22" ht="81" customHeight="1" thickBot="1" x14ac:dyDescent="0.35">
      <c r="B38" s="155"/>
      <c r="C38" s="241" t="s">
        <v>159</v>
      </c>
      <c r="D38" s="359">
        <v>0.1</v>
      </c>
      <c r="E38" s="244" t="s">
        <v>89</v>
      </c>
      <c r="I38" s="575" t="s">
        <v>197</v>
      </c>
      <c r="J38" s="576"/>
      <c r="K38" s="576"/>
      <c r="L38" s="577"/>
      <c r="M38" s="438"/>
      <c r="N38" s="439"/>
      <c r="O38" s="439"/>
      <c r="P38" s="439"/>
    </row>
    <row r="39" spans="1:22" ht="183" customHeight="1" x14ac:dyDescent="0.3">
      <c r="B39" s="155"/>
      <c r="C39" s="302" t="s">
        <v>191</v>
      </c>
      <c r="D39" s="182"/>
      <c r="E39" s="303"/>
      <c r="G39" s="183"/>
      <c r="I39" s="105" t="s">
        <v>347</v>
      </c>
      <c r="L39" s="105"/>
    </row>
    <row r="40" spans="1:22" ht="33.450000000000003" customHeight="1" thickBot="1" x14ac:dyDescent="0.35">
      <c r="A40" s="331"/>
      <c r="B40" s="331"/>
      <c r="C40" s="331"/>
      <c r="D40" s="331"/>
      <c r="E40" s="331"/>
      <c r="F40" s="331"/>
      <c r="G40" s="331"/>
      <c r="H40" s="331"/>
      <c r="I40" s="331"/>
      <c r="J40" s="331"/>
      <c r="K40" s="331"/>
      <c r="L40" s="331"/>
      <c r="M40" s="331"/>
      <c r="N40" s="331"/>
      <c r="O40" s="331"/>
      <c r="P40" s="331"/>
      <c r="Q40" s="331"/>
      <c r="R40" s="331"/>
      <c r="S40" s="331"/>
      <c r="T40" s="331"/>
      <c r="U40" s="331"/>
      <c r="V40" s="331"/>
    </row>
    <row r="41" spans="1:22" ht="16.5" customHeight="1" thickTop="1" thickBot="1" x14ac:dyDescent="0.35">
      <c r="A41" s="331"/>
      <c r="B41" s="331"/>
      <c r="C41" s="331"/>
      <c r="D41" s="331"/>
      <c r="E41" s="331"/>
      <c r="F41" s="331"/>
      <c r="G41" s="331"/>
      <c r="H41" s="331"/>
      <c r="I41" s="331"/>
      <c r="J41" s="331"/>
      <c r="K41" s="331"/>
      <c r="L41" s="331"/>
      <c r="M41" s="331"/>
      <c r="N41" s="331"/>
      <c r="O41" s="331"/>
      <c r="P41" s="331"/>
      <c r="Q41" s="331"/>
      <c r="R41" s="331"/>
      <c r="S41" s="331"/>
      <c r="T41" s="331"/>
      <c r="U41" s="331"/>
      <c r="V41" s="331"/>
    </row>
    <row r="42" spans="1:22" ht="33" customHeight="1" thickTop="1" x14ac:dyDescent="0.3">
      <c r="B42" s="332" t="s">
        <v>321</v>
      </c>
      <c r="K42" s="165"/>
      <c r="L42" s="105"/>
      <c r="M42" s="105"/>
      <c r="N42" s="105"/>
      <c r="O42" s="165"/>
      <c r="P42" s="165"/>
      <c r="Q42" s="165"/>
      <c r="R42" s="184"/>
      <c r="S42" s="184"/>
    </row>
    <row r="43" spans="1:22" ht="35.549999999999997" customHeight="1" x14ac:dyDescent="0.3">
      <c r="C43" s="168" t="s">
        <v>212</v>
      </c>
      <c r="K43" s="165"/>
      <c r="L43" s="165"/>
      <c r="M43" s="165"/>
      <c r="N43" s="165"/>
      <c r="O43" s="165"/>
      <c r="P43" s="165"/>
      <c r="Q43" s="165"/>
      <c r="R43" s="184"/>
      <c r="S43" s="184"/>
    </row>
    <row r="44" spans="1:22" ht="4.5" customHeight="1" x14ac:dyDescent="0.3">
      <c r="K44" s="165"/>
      <c r="L44" s="165"/>
      <c r="M44" s="165"/>
      <c r="N44" s="165"/>
      <c r="O44" s="165"/>
      <c r="P44" s="165"/>
      <c r="Q44" s="165"/>
      <c r="R44" s="184"/>
      <c r="S44" s="184"/>
    </row>
    <row r="45" spans="1:22" ht="30" x14ac:dyDescent="0.3">
      <c r="C45" s="176" t="s">
        <v>211</v>
      </c>
      <c r="D45" s="176" t="s">
        <v>215</v>
      </c>
      <c r="E45" s="176" t="s">
        <v>69</v>
      </c>
      <c r="F45" s="176" t="s">
        <v>214</v>
      </c>
      <c r="G45" s="176" t="s">
        <v>234</v>
      </c>
      <c r="L45" s="165"/>
      <c r="M45" s="165"/>
      <c r="N45" s="165"/>
      <c r="O45" s="165"/>
      <c r="P45" s="165"/>
      <c r="Q45" s="165"/>
      <c r="R45" s="165"/>
      <c r="S45" s="184"/>
      <c r="T45" s="184"/>
    </row>
    <row r="46" spans="1:22" ht="30" x14ac:dyDescent="0.3">
      <c r="B46" s="155"/>
      <c r="C46" s="243" t="str">
        <f>'Non-res - Ordinance Values'!$B$25</f>
        <v>Building Entrance(s)</v>
      </c>
      <c r="D46" s="361">
        <v>1</v>
      </c>
      <c r="E46" s="243" t="str">
        <f>'Non-res - Ordinance Values'!C25</f>
        <v>each</v>
      </c>
      <c r="F46" s="243" cm="1">
        <f t="array" ref="F46">Allowance_Selection27[[#This Row],[Number of Type]]*VLOOKUP(Allowance_Selection27[[#This Row],[Allowance Type]],'Non-res - Ordinance Values'!$B$24:$G$30,_xlfn.IFS(D$29="LZ0",3,D$29="LZ1",4,D$29="LZ2",5,D$29="LZ3",6),FALSE)</f>
        <v>1000</v>
      </c>
      <c r="G46" s="243" t="s">
        <v>233</v>
      </c>
      <c r="O46" s="155"/>
      <c r="P46" s="155"/>
      <c r="Q46" s="168" t="str" cm="1">
        <f t="array" ref="Q46">IF(F70=0,"",_xlfn.IFNA(_xlfn.IFS(G70="","FAIL",I70="","FAIL",J70="","FAIL",L46="","FAIL",P46="","FAIL",AND(D70='Non-res - Ordinance Values'!B$19,N46=""),"FAIL",F70/#REF!&lt;45,"FAIL",I70&gt;3000,"FAIL",I70&lt;2200,"FAIL",AND(D70='Non-res - Ordinance Values'!$B$19,N46&gt;0),"FAIL",AND(OR(J70='Non-res - Ordinance Values'!$B$3:$B$5),VLOOKUP(J70,'Non-res - Ordinance Values'!B$2:D$8,IF(COUNTIF(#REF!,"*Residential")&gt;0,2,3),FALSE)&lt;L46),"FAIL",$F70&gt;VLOOKUP($D70,'Non-res - Ordinance Values'!$B$15:$F$19,_xlfn.IFS(#REF!="LZ1",3,#REF!="LZ2",4),FALSE),"FAIL"),"PASS"))</f>
        <v/>
      </c>
      <c r="R46" s="168" t="str" cm="1">
        <f t="array" ref="R46">IF(F70=0,"",_xlfn.IFNA(_xlfn.IFS(G70="","Missing entries",I70="","Missing entries",J70="","Missing entries",L46="","Missing entries",P46="","Missing entries",AND(D70='Non-res - Ordinance Values'!B$19,N46=""),"Missing entries",F70/#REF!&lt;45,"Poor efficacy",I70&gt;3000,"CCT is too high",I70&lt;2200,"CCT is too low",AND(D70='Non-res - Ordinance Values'!$B$19,N46&gt;0),"Uplight must be zero",AND(OR(J70='Non-res - Ordinance Values'!$B$3:$B$5),VLOOKUP(J70,'Non-res - Ordinance Values'!B$2:D$8,IF(COUNTIF(#REF!,"*Residential")&gt;0,2,3),FALSE)&lt;L46),"Mounting Height is too high",$F70&gt;VLOOKUP($D70,'Non-res - Ordinance Values'!$B$15:$F$19,_xlfn.IFS(#REF!="LZ1",3,#REF!="LZ2",4),FALSE),"Lumens exceed limit"),""))</f>
        <v/>
      </c>
    </row>
    <row r="47" spans="1:22" ht="109.5" customHeight="1" x14ac:dyDescent="0.3">
      <c r="B47" s="155"/>
      <c r="C47" s="243" t="str">
        <f>'Non-res - Ordinance Values'!$B$26</f>
        <v>Building Facade</v>
      </c>
      <c r="D47" s="361">
        <v>12</v>
      </c>
      <c r="E47" s="243" t="str">
        <f>'Non-res - Ordinance Values'!C26</f>
        <v>square feet of illuminated façade</v>
      </c>
      <c r="F47" s="243" cm="1">
        <f t="array" ref="F47">Allowance_Selection27[[#This Row],[Number of Type]]*VLOOKUP(Allowance_Selection27[[#This Row],[Allowance Type]],'Non-res - Ordinance Values'!$B$24:$G$30,_xlfn.IFS(D$29="LZ0",3,D$29="LZ1",4,D$29="LZ2",5,D$29="LZ3",6),FALSE)</f>
        <v>192</v>
      </c>
      <c r="G47" s="243" t="s">
        <v>240</v>
      </c>
      <c r="L47" s="105"/>
      <c r="O47" s="184"/>
    </row>
    <row r="48" spans="1:22" ht="39" customHeight="1" x14ac:dyDescent="0.3">
      <c r="B48" s="155"/>
      <c r="C48" s="243" t="str">
        <f>'Non-res - Ordinance Values'!B$27</f>
        <v>Nighttime Service Loading</v>
      </c>
      <c r="D48" s="361">
        <v>1</v>
      </c>
      <c r="E48" s="243" t="str">
        <f>'Non-res - Ordinance Values'!C27</f>
        <v>each</v>
      </c>
      <c r="F48" s="243" cm="1">
        <f t="array" ref="F48">Allowance_Selection27[[#This Row],[Number of Type]]*VLOOKUP(Allowance_Selection27[[#This Row],[Allowance Type]],'Non-res - Ordinance Values'!$B$24:$G$30,_xlfn.IFS(D$29="LZ0",3,D$29="LZ1",4,D$29="LZ2",5,D$29="LZ3",6),FALSE)</f>
        <v>4000</v>
      </c>
      <c r="G48" s="243" t="s">
        <v>235</v>
      </c>
      <c r="L48" s="105"/>
      <c r="M48" s="184"/>
      <c r="N48" s="184"/>
      <c r="P48" s="184"/>
      <c r="Q48" s="184"/>
      <c r="R48" s="184"/>
    </row>
    <row r="49" spans="1:22" ht="57.45" customHeight="1" x14ac:dyDescent="0.3">
      <c r="B49" s="155"/>
      <c r="C49" s="243" t="str">
        <f>'Non-res - Ordinance Values'!B$28</f>
        <v>Surface parking</v>
      </c>
      <c r="D49" s="361">
        <v>4</v>
      </c>
      <c r="E49" s="243" t="str">
        <f>'Non-res - Ordinance Values'!C28</f>
        <v>space</v>
      </c>
      <c r="F49" s="243" cm="1">
        <f t="array" ref="F49">Allowance_Selection27[[#This Row],[Number of Type]]*VLOOKUP(Allowance_Selection27[[#This Row],[Allowance Type]],'Non-res - Ordinance Values'!$B$24:$G$30,_xlfn.IFS(D$29="LZ0",3,D$29="LZ1",4,D$29="LZ2",5,D$29="LZ3",6),FALSE)</f>
        <v>2400</v>
      </c>
      <c r="G49" s="243" t="s">
        <v>236</v>
      </c>
      <c r="L49" s="105"/>
      <c r="M49" s="184"/>
      <c r="N49" s="184"/>
      <c r="O49" s="184"/>
      <c r="P49" s="184"/>
      <c r="Q49" s="184"/>
      <c r="R49" s="184"/>
    </row>
    <row r="50" spans="1:22" ht="40.049999999999997" customHeight="1" x14ac:dyDescent="0.3">
      <c r="B50" s="155"/>
      <c r="C50" s="243" t="str">
        <f>'Non-res - Ordinance Values'!B$29</f>
        <v>Gas Station Canopy</v>
      </c>
      <c r="D50" s="361">
        <v>0</v>
      </c>
      <c r="E50" s="243" t="str">
        <f>'Non-res - Ordinance Values'!C29</f>
        <v>pump</v>
      </c>
      <c r="F50" s="243" cm="1">
        <f t="array" ref="F50">Allowance_Selection27[[#This Row],[Number of Type]]*VLOOKUP(Allowance_Selection27[[#This Row],[Allowance Type]],'Non-res - Ordinance Values'!$B$24:$G$30,_xlfn.IFS(D$29="LZ0",3,D$29="LZ1",4,D$29="LZ2",5,D$29="LZ3",6),FALSE)</f>
        <v>0</v>
      </c>
      <c r="G50" s="243" t="s">
        <v>237</v>
      </c>
      <c r="L50" s="105"/>
      <c r="M50" s="184"/>
      <c r="N50" s="184"/>
      <c r="O50" s="184"/>
      <c r="P50" s="184"/>
      <c r="Q50" s="184"/>
      <c r="R50" s="184"/>
    </row>
    <row r="51" spans="1:22" ht="45" x14ac:dyDescent="0.3">
      <c r="B51" s="155"/>
      <c r="C51" s="243" t="str">
        <f>'Non-res - Ordinance Values'!B$30</f>
        <v>Outdoor Dining</v>
      </c>
      <c r="D51" s="361">
        <v>0</v>
      </c>
      <c r="E51" s="243" t="str">
        <f>'Non-res - Ordinance Values'!C30</f>
        <v>square foot of outdoor dining area</v>
      </c>
      <c r="F51" s="243" cm="1">
        <f t="array" ref="F51">Allowance_Selection27[[#This Row],[Number of Type]]*VLOOKUP(Allowance_Selection27[[#This Row],[Allowance Type]],'Non-res - Ordinance Values'!$B$24:$G$30,_xlfn.IFS(D$29="LZ0",3,D$29="LZ1",4,D$29="LZ2",5,D$29="LZ3",6),FALSE)</f>
        <v>0</v>
      </c>
      <c r="G51" s="243" t="s">
        <v>238</v>
      </c>
      <c r="L51" s="105"/>
      <c r="M51" s="184"/>
      <c r="N51" s="184"/>
      <c r="O51" s="184"/>
      <c r="P51" s="184"/>
      <c r="Q51" s="184"/>
      <c r="R51" s="184"/>
    </row>
    <row r="52" spans="1:22" ht="37.5" customHeight="1" thickBot="1" x14ac:dyDescent="0.35">
      <c r="A52" s="331"/>
      <c r="B52" s="331"/>
      <c r="C52" s="331"/>
      <c r="D52" s="331"/>
      <c r="E52" s="331"/>
      <c r="F52" s="331"/>
      <c r="G52" s="331"/>
      <c r="H52" s="331"/>
      <c r="I52" s="331"/>
      <c r="J52" s="331"/>
      <c r="K52" s="331"/>
      <c r="L52" s="331"/>
      <c r="M52" s="331"/>
      <c r="N52" s="331"/>
      <c r="O52" s="331"/>
      <c r="P52" s="331"/>
      <c r="Q52" s="331"/>
      <c r="R52" s="331"/>
      <c r="S52" s="331"/>
      <c r="T52" s="331"/>
      <c r="U52" s="331"/>
      <c r="V52" s="331"/>
    </row>
    <row r="53" spans="1:22" ht="15.45" customHeight="1" thickTop="1" thickBot="1" x14ac:dyDescent="0.35">
      <c r="A53" s="362"/>
      <c r="B53" s="362"/>
      <c r="C53" s="362"/>
      <c r="D53" s="362"/>
      <c r="E53" s="362"/>
      <c r="F53" s="362"/>
      <c r="G53" s="362"/>
      <c r="H53" s="362"/>
      <c r="I53" s="362"/>
      <c r="J53" s="362"/>
      <c r="K53" s="362"/>
      <c r="L53" s="362"/>
      <c r="M53" s="362"/>
      <c r="N53" s="362"/>
      <c r="O53" s="362"/>
      <c r="P53" s="362"/>
      <c r="Q53" s="362"/>
      <c r="R53" s="362"/>
      <c r="S53" s="362"/>
      <c r="T53" s="362"/>
      <c r="U53" s="362"/>
      <c r="V53" s="362"/>
    </row>
    <row r="54" spans="1:22" ht="34.049999999999997" customHeight="1" thickTop="1" x14ac:dyDescent="0.3">
      <c r="B54" s="332" t="s">
        <v>316</v>
      </c>
      <c r="C54" s="168"/>
      <c r="L54" s="184"/>
      <c r="M54" s="184"/>
      <c r="N54" s="184"/>
      <c r="O54" s="184"/>
      <c r="P54" s="184"/>
      <c r="Q54" s="184"/>
    </row>
    <row r="55" spans="1:22" ht="49.2" customHeight="1" x14ac:dyDescent="0.3">
      <c r="B55" s="185"/>
      <c r="C55" s="572" t="s">
        <v>330</v>
      </c>
      <c r="D55" s="429"/>
      <c r="E55" s="429"/>
      <c r="F55" s="429"/>
      <c r="G55" s="429"/>
      <c r="H55" s="429"/>
      <c r="L55" s="184"/>
      <c r="M55" s="184"/>
      <c r="N55" s="184"/>
      <c r="O55" s="184"/>
      <c r="P55" s="184"/>
      <c r="Q55" s="184"/>
    </row>
    <row r="56" spans="1:22" ht="15.6" x14ac:dyDescent="0.3">
      <c r="B56" s="185"/>
      <c r="C56" s="182" t="s">
        <v>132</v>
      </c>
      <c r="L56" s="184"/>
      <c r="M56" s="184"/>
      <c r="N56" s="184"/>
      <c r="O56" s="184"/>
      <c r="P56" s="184"/>
      <c r="Q56" s="184"/>
    </row>
    <row r="57" spans="1:22" ht="15.6" x14ac:dyDescent="0.3">
      <c r="B57" s="185"/>
      <c r="C57" s="182" t="s">
        <v>162</v>
      </c>
      <c r="L57" s="184"/>
      <c r="M57" s="184"/>
      <c r="N57" s="184"/>
      <c r="O57" s="184"/>
      <c r="P57" s="184"/>
      <c r="Q57" s="184"/>
    </row>
    <row r="58" spans="1:22" ht="138" customHeight="1" x14ac:dyDescent="0.3">
      <c r="B58" s="155"/>
      <c r="K58" s="184"/>
      <c r="L58" s="184"/>
      <c r="M58" s="184"/>
      <c r="N58" s="184"/>
      <c r="O58" s="184"/>
      <c r="P58" s="184"/>
    </row>
    <row r="59" spans="1:22" ht="30" x14ac:dyDescent="0.3">
      <c r="B59" s="155"/>
      <c r="C59" s="186" t="s">
        <v>163</v>
      </c>
      <c r="D59" s="187" t="s">
        <v>131</v>
      </c>
      <c r="E59" s="187" t="s">
        <v>213</v>
      </c>
      <c r="F59" s="188" t="s">
        <v>3</v>
      </c>
      <c r="G59" s="188" t="s">
        <v>4</v>
      </c>
      <c r="H59" s="187" t="s">
        <v>6</v>
      </c>
      <c r="I59" s="187" t="s">
        <v>9</v>
      </c>
      <c r="J59" s="187" t="s">
        <v>148</v>
      </c>
      <c r="K59" s="187" t="s">
        <v>219</v>
      </c>
      <c r="L59" s="187" t="s">
        <v>220</v>
      </c>
      <c r="M59" s="187" t="s">
        <v>221</v>
      </c>
      <c r="N59" s="187" t="s">
        <v>246</v>
      </c>
      <c r="O59" s="189" t="s">
        <v>70</v>
      </c>
      <c r="Q59" s="184"/>
      <c r="R59" s="184"/>
      <c r="S59" s="184"/>
      <c r="T59" s="184"/>
      <c r="U59" s="184"/>
      <c r="V59" s="184"/>
    </row>
    <row r="60" spans="1:22" ht="30" x14ac:dyDescent="0.3">
      <c r="B60" s="155"/>
      <c r="C60" s="363" t="s">
        <v>390</v>
      </c>
      <c r="D60" s="357" t="s">
        <v>93</v>
      </c>
      <c r="E60" s="359" t="s">
        <v>187</v>
      </c>
      <c r="F60" s="364">
        <v>400</v>
      </c>
      <c r="G60" s="365">
        <v>1</v>
      </c>
      <c r="H60" s="250">
        <f t="shared" ref="H60:H70" si="0">F60*G60</f>
        <v>400</v>
      </c>
      <c r="I60" s="366">
        <v>2800</v>
      </c>
      <c r="J60" s="367" t="s">
        <v>370</v>
      </c>
      <c r="K60" s="251" t="str">
        <f>IF(OR(Project_Info_Comm28[[#This Row],[Mounting Type Fixture/Application]]=0,Project_Info_Comm28[[#This Row],[Mounting Type Fixture/Application]]="Choose from dropdown"),"",VLOOKUP(Project_Info_Comm28[[#This Row],[Mounting Type Fixture/Application]],'Non-res - Ordinance Values'!$B$3:$C$13,2,FALSE))</f>
        <v>Does not apply</v>
      </c>
      <c r="L60" s="365">
        <v>10</v>
      </c>
      <c r="M60" s="365" t="s">
        <v>232</v>
      </c>
      <c r="N60" s="251" t="s">
        <v>187</v>
      </c>
      <c r="O60" s="256" t="str">
        <f>_xlfn.IFNA(_xlfn.TEXTJOIN(" ",TRUE,'NonRes - Proposed Fixture'!E6,'NonRes - Proposed Fixture'!F6,'NonRes - Proposed Fixture'!H6,'NonRes - Proposed Fixture'!I6,'NonRes - Proposed Fixture'!L6)&amp;".","")</f>
        <v>.</v>
      </c>
      <c r="Q60" s="155"/>
      <c r="R60" s="155"/>
      <c r="S60" s="155"/>
    </row>
    <row r="61" spans="1:22" x14ac:dyDescent="0.3">
      <c r="C61" s="368" t="s">
        <v>391</v>
      </c>
      <c r="D61" s="369" t="s">
        <v>73</v>
      </c>
      <c r="E61" s="369" t="s">
        <v>187</v>
      </c>
      <c r="F61" s="370">
        <v>300</v>
      </c>
      <c r="G61" s="365">
        <v>2</v>
      </c>
      <c r="H61" s="250">
        <f t="shared" si="0"/>
        <v>600</v>
      </c>
      <c r="I61" s="366">
        <v>2800</v>
      </c>
      <c r="J61" s="365" t="s">
        <v>202</v>
      </c>
      <c r="K61" s="251" t="str">
        <f>IF(OR(Project_Info_Comm28[[#This Row],[Mounting Type Fixture/Application]]=0,Project_Info_Comm28[[#This Row],[Mounting Type Fixture/Application]]="Choose from dropdown"),"",VLOOKUP(Project_Info_Comm28[[#This Row],[Mounting Type Fixture/Application]],'Non-res - Ordinance Values'!$B$3:$C$13,2,FALSE))</f>
        <v>Does not apply</v>
      </c>
      <c r="L61" s="365">
        <v>10</v>
      </c>
      <c r="M61" s="365" t="s">
        <v>222</v>
      </c>
      <c r="N61" s="251" t="s">
        <v>187</v>
      </c>
      <c r="O61" s="256" t="str">
        <f>_xlfn.IFNA(_xlfn.TEXTJOIN(" ",TRUE,'NonRes - Proposed Fixture'!E7,'NonRes - Proposed Fixture'!F7,'NonRes - Proposed Fixture'!H7,'NonRes - Proposed Fixture'!I7,'NonRes - Proposed Fixture'!L7)&amp;".","")</f>
        <v>.</v>
      </c>
      <c r="Q61" s="155"/>
      <c r="R61" s="155"/>
      <c r="S61" s="155"/>
    </row>
    <row r="62" spans="1:22" x14ac:dyDescent="0.3">
      <c r="C62" s="368" t="s">
        <v>392</v>
      </c>
      <c r="D62" s="369" t="s">
        <v>73</v>
      </c>
      <c r="E62" s="369" t="s">
        <v>186</v>
      </c>
      <c r="F62" s="370">
        <v>150</v>
      </c>
      <c r="G62" s="365">
        <v>1</v>
      </c>
      <c r="H62" s="250">
        <f t="shared" si="0"/>
        <v>150</v>
      </c>
      <c r="I62" s="366">
        <v>2800</v>
      </c>
      <c r="J62" s="365" t="s">
        <v>369</v>
      </c>
      <c r="K62" s="251" t="str">
        <f>IF(OR(Project_Info_Comm28[[#This Row],[Mounting Type Fixture/Application]]=0,Project_Info_Comm28[[#This Row],[Mounting Type Fixture/Application]]="Choose from dropdown"),"",VLOOKUP(Project_Info_Comm28[[#This Row],[Mounting Type Fixture/Application]],'Non-res - Ordinance Values'!$B$3:$C$13,2,FALSE))</f>
        <v>Does not apply</v>
      </c>
      <c r="L62" s="365">
        <v>10</v>
      </c>
      <c r="M62" s="365" t="s">
        <v>227</v>
      </c>
      <c r="N62" s="251" t="s">
        <v>394</v>
      </c>
      <c r="O62" s="256" t="str">
        <f>_xlfn.IFNA(_xlfn.TEXTJOIN(" ",TRUE,'NonRes - Proposed Fixture'!E8,'NonRes - Proposed Fixture'!F8,'NonRes - Proposed Fixture'!H8,'NonRes - Proposed Fixture'!I8,'NonRes - Proposed Fixture'!L8)&amp;".","")</f>
        <v>.</v>
      </c>
      <c r="Q62" s="155"/>
      <c r="R62" s="155"/>
      <c r="S62" s="155"/>
    </row>
    <row r="63" spans="1:22" x14ac:dyDescent="0.3">
      <c r="C63" s="368" t="s">
        <v>393</v>
      </c>
      <c r="D63" s="369" t="s">
        <v>146</v>
      </c>
      <c r="E63" s="369" t="s">
        <v>186</v>
      </c>
      <c r="F63" s="370">
        <v>150</v>
      </c>
      <c r="G63" s="365">
        <v>4</v>
      </c>
      <c r="H63" s="250">
        <f t="shared" si="0"/>
        <v>600</v>
      </c>
      <c r="I63" s="366">
        <v>2800</v>
      </c>
      <c r="J63" s="365" t="s">
        <v>242</v>
      </c>
      <c r="K63" s="251">
        <f>IF(OR(Project_Info_Comm28[[#This Row],[Mounting Type Fixture/Application]]=0,Project_Info_Comm28[[#This Row],[Mounting Type Fixture/Application]]="Choose from dropdown"),"",VLOOKUP(Project_Info_Comm28[[#This Row],[Mounting Type Fixture/Application]],'Non-res - Ordinance Values'!$B$3:$C$13,2,FALSE))</f>
        <v>3.5</v>
      </c>
      <c r="L63" s="365">
        <v>0.5</v>
      </c>
      <c r="M63" s="365" t="s">
        <v>374</v>
      </c>
      <c r="N63" s="251" t="s">
        <v>394</v>
      </c>
      <c r="O63" s="256" t="str">
        <f>_xlfn.IFNA(_xlfn.TEXTJOIN(" ",TRUE,'NonRes - Proposed Fixture'!E9,'NonRes - Proposed Fixture'!F9,'NonRes - Proposed Fixture'!H9,'NonRes - Proposed Fixture'!I9,'NonRes - Proposed Fixture'!L9)&amp;".","")</f>
        <v>.</v>
      </c>
      <c r="Q63" s="155"/>
      <c r="R63" s="155"/>
      <c r="S63" s="155"/>
    </row>
    <row r="64" spans="1:22" x14ac:dyDescent="0.3">
      <c r="C64" s="368" t="s">
        <v>395</v>
      </c>
      <c r="D64" s="369" t="s">
        <v>130</v>
      </c>
      <c r="E64" s="369" t="s">
        <v>186</v>
      </c>
      <c r="F64" s="370">
        <v>100</v>
      </c>
      <c r="G64" s="365">
        <v>5</v>
      </c>
      <c r="H64" s="250">
        <f t="shared" si="0"/>
        <v>500</v>
      </c>
      <c r="I64" s="371">
        <v>2800</v>
      </c>
      <c r="J64" s="365" t="s">
        <v>289</v>
      </c>
      <c r="K64" s="251">
        <f>IF(OR(Project_Info_Comm28[[#This Row],[Mounting Type Fixture/Application]]=0,Project_Info_Comm28[[#This Row],[Mounting Type Fixture/Application]]="Choose from dropdown"),"",VLOOKUP(Project_Info_Comm28[[#This Row],[Mounting Type Fixture/Application]],'Non-res - Ordinance Values'!$B$3:$C$13,2,FALSE))</f>
        <v>20</v>
      </c>
      <c r="L64" s="365">
        <v>18</v>
      </c>
      <c r="M64" s="365"/>
      <c r="N64" s="251" t="str">
        <f>_xlfn.IFNA(IF(AND(Project_Info_Comm28[[#This Row],[Proposed/Existing?]]='NonRes - Proposed Fixture'!$A$2,$D$92="No"),"Existing to Remain",'NonRes - Proposed Fixture'!U10),"")</f>
        <v>More info needed</v>
      </c>
      <c r="O64" s="256" t="str">
        <f>_xlfn.IFNA(_xlfn.TEXTJOIN(" ",TRUE,'NonRes - Proposed Fixture'!E10,'NonRes - Proposed Fixture'!F10,'NonRes - Proposed Fixture'!H10,'NonRes - Proposed Fixture'!I10,'NonRes - Proposed Fixture'!L10)&amp;".","")</f>
        <v>.</v>
      </c>
      <c r="Q64" s="155"/>
      <c r="R64" s="155"/>
      <c r="S64" s="155"/>
    </row>
    <row r="65" spans="1:22" x14ac:dyDescent="0.3">
      <c r="C65" s="368"/>
      <c r="D65" s="369"/>
      <c r="E65" s="369"/>
      <c r="F65" s="370"/>
      <c r="G65" s="365"/>
      <c r="H65" s="250">
        <f t="shared" si="0"/>
        <v>0</v>
      </c>
      <c r="I65" s="371"/>
      <c r="J65" s="365"/>
      <c r="K65" s="251" t="str">
        <f>IF(OR(Project_Info_Comm28[[#This Row],[Mounting Type Fixture/Application]]=0,Project_Info_Comm28[[#This Row],[Mounting Type Fixture/Application]]="Choose from dropdown"),"",VLOOKUP(Project_Info_Comm28[[#This Row],[Mounting Type Fixture/Application]],'Non-res - Ordinance Values'!$B$3:$C$13,2,FALSE))</f>
        <v/>
      </c>
      <c r="L65" s="365"/>
      <c r="M65" s="365"/>
      <c r="N65" s="251" t="str">
        <f>_xlfn.IFNA(IF(AND(Project_Info_Comm28[[#This Row],[Proposed/Existing?]]='NonRes - Proposed Fixture'!$A$2,$D$92="No"),"Existing to Remain",'NonRes - Proposed Fixture'!U11),"")</f>
        <v>More info needed</v>
      </c>
      <c r="O65" s="256" t="str">
        <f>_xlfn.IFNA(_xlfn.TEXTJOIN(" ",TRUE,'NonRes - Proposed Fixture'!E11,'NonRes - Proposed Fixture'!F11,'NonRes - Proposed Fixture'!H11,'NonRes - Proposed Fixture'!I11,'NonRes - Proposed Fixture'!L11)&amp;".","")</f>
        <v>.</v>
      </c>
      <c r="Q65" s="155"/>
      <c r="R65" s="155"/>
      <c r="S65" s="155"/>
    </row>
    <row r="66" spans="1:22" x14ac:dyDescent="0.3">
      <c r="C66" s="368"/>
      <c r="D66" s="369"/>
      <c r="E66" s="369"/>
      <c r="F66" s="370"/>
      <c r="G66" s="365"/>
      <c r="H66" s="250">
        <f t="shared" si="0"/>
        <v>0</v>
      </c>
      <c r="I66" s="371"/>
      <c r="J66" s="365"/>
      <c r="K66" s="251" t="str">
        <f>IF(OR(Project_Info_Comm28[[#This Row],[Mounting Type Fixture/Application]]=0,Project_Info_Comm28[[#This Row],[Mounting Type Fixture/Application]]="Choose from dropdown"),"",VLOOKUP(Project_Info_Comm28[[#This Row],[Mounting Type Fixture/Application]],'Non-res - Ordinance Values'!$B$3:$C$13,2,FALSE))</f>
        <v/>
      </c>
      <c r="L66" s="365"/>
      <c r="M66" s="365"/>
      <c r="N66" s="251" t="str">
        <f>_xlfn.IFNA(IF(AND(Project_Info_Comm28[[#This Row],[Proposed/Existing?]]='NonRes - Proposed Fixture'!$A$2,$D$92="No"),"Existing to Remain",'NonRes - Proposed Fixture'!U12),"")</f>
        <v>More info needed</v>
      </c>
      <c r="O66" s="256" t="str">
        <f>_xlfn.IFNA(_xlfn.TEXTJOIN(" ",TRUE,'NonRes - Proposed Fixture'!E12,'NonRes - Proposed Fixture'!F12,'NonRes - Proposed Fixture'!H12,'NonRes - Proposed Fixture'!I12,'NonRes - Proposed Fixture'!L12)&amp;".","")</f>
        <v>.</v>
      </c>
      <c r="R66" s="155"/>
      <c r="S66" s="155"/>
      <c r="T66" s="155"/>
    </row>
    <row r="67" spans="1:22" x14ac:dyDescent="0.3">
      <c r="C67" s="368"/>
      <c r="D67" s="369"/>
      <c r="E67" s="369"/>
      <c r="F67" s="370"/>
      <c r="G67" s="365"/>
      <c r="H67" s="250">
        <f t="shared" si="0"/>
        <v>0</v>
      </c>
      <c r="I67" s="371"/>
      <c r="J67" s="365"/>
      <c r="K67" s="251" t="str">
        <f>IF(OR(Project_Info_Comm28[[#This Row],[Mounting Type Fixture/Application]]=0,Project_Info_Comm28[[#This Row],[Mounting Type Fixture/Application]]="Choose from dropdown"),"",VLOOKUP(Project_Info_Comm28[[#This Row],[Mounting Type Fixture/Application]],'Non-res - Ordinance Values'!$B$3:$C$13,2,FALSE))</f>
        <v/>
      </c>
      <c r="L67" s="365"/>
      <c r="M67" s="365"/>
      <c r="N67" s="251" t="str">
        <f>_xlfn.IFNA(IF(AND(Project_Info_Comm28[[#This Row],[Proposed/Existing?]]='NonRes - Proposed Fixture'!$A$2,$D$92="No"),"Existing to Remain",'NonRes - Proposed Fixture'!U13),"")</f>
        <v>More info needed</v>
      </c>
      <c r="O67" s="256" t="str">
        <f>_xlfn.IFNA(_xlfn.TEXTJOIN(" ",TRUE,'NonRes - Proposed Fixture'!E13,'NonRes - Proposed Fixture'!F13,'NonRes - Proposed Fixture'!H13,'NonRes - Proposed Fixture'!I13,'NonRes - Proposed Fixture'!L13)&amp;".","")</f>
        <v>.</v>
      </c>
      <c r="R67" s="155"/>
      <c r="S67" s="155"/>
      <c r="T67" s="155"/>
    </row>
    <row r="68" spans="1:22" x14ac:dyDescent="0.3">
      <c r="C68" s="368"/>
      <c r="D68" s="369"/>
      <c r="E68" s="369"/>
      <c r="F68" s="370"/>
      <c r="G68" s="365"/>
      <c r="H68" s="250">
        <f t="shared" si="0"/>
        <v>0</v>
      </c>
      <c r="I68" s="371"/>
      <c r="J68" s="365"/>
      <c r="K68" s="251" t="str">
        <f>IF(OR(Project_Info_Comm28[[#This Row],[Mounting Type Fixture/Application]]=0,Project_Info_Comm28[[#This Row],[Mounting Type Fixture/Application]]="Choose from dropdown"),"",VLOOKUP(Project_Info_Comm28[[#This Row],[Mounting Type Fixture/Application]],'Non-res - Ordinance Values'!$B$3:$C$13,2,FALSE))</f>
        <v/>
      </c>
      <c r="L68" s="365"/>
      <c r="M68" s="365"/>
      <c r="N68" s="251" t="str">
        <f>_xlfn.IFNA(IF(AND(Project_Info_Comm28[[#This Row],[Proposed/Existing?]]='NonRes - Proposed Fixture'!$A$2,$D$92="No"),"Existing to Remain",'NonRes - Proposed Fixture'!U14),"")</f>
        <v>More info needed</v>
      </c>
      <c r="O68" s="256" t="str">
        <f>_xlfn.IFNA(_xlfn.TEXTJOIN(" ",TRUE,'NonRes - Proposed Fixture'!E14,'NonRes - Proposed Fixture'!F14,'NonRes - Proposed Fixture'!H14,'NonRes - Proposed Fixture'!I14,'NonRes - Proposed Fixture'!L14)&amp;".","")</f>
        <v>.</v>
      </c>
      <c r="R68" s="155"/>
      <c r="S68" s="155"/>
      <c r="T68" s="155"/>
    </row>
    <row r="69" spans="1:22" x14ac:dyDescent="0.3">
      <c r="C69" s="368"/>
      <c r="D69" s="369"/>
      <c r="E69" s="369"/>
      <c r="F69" s="370"/>
      <c r="G69" s="365"/>
      <c r="H69" s="250">
        <f t="shared" si="0"/>
        <v>0</v>
      </c>
      <c r="I69" s="371"/>
      <c r="J69" s="365"/>
      <c r="K69" s="251" t="str">
        <f>IF(OR(Project_Info_Comm28[[#This Row],[Mounting Type Fixture/Application]]=0,Project_Info_Comm28[[#This Row],[Mounting Type Fixture/Application]]="Choose from dropdown"),"",VLOOKUP(Project_Info_Comm28[[#This Row],[Mounting Type Fixture/Application]],'Non-res - Ordinance Values'!$B$3:$C$13,2,FALSE))</f>
        <v/>
      </c>
      <c r="L69" s="365"/>
      <c r="M69" s="365"/>
      <c r="N69" s="251" t="str">
        <f>_xlfn.IFNA(IF(AND(Project_Info_Comm28[[#This Row],[Proposed/Existing?]]='NonRes - Proposed Fixture'!$A$2,$D$92="No"),"Existing to Remain",'NonRes - Proposed Fixture'!U15),"")</f>
        <v>More info needed</v>
      </c>
      <c r="O69" s="256" t="str">
        <f>_xlfn.IFNA(_xlfn.TEXTJOIN(" ",TRUE,'NonRes - Proposed Fixture'!E15,'NonRes - Proposed Fixture'!F15,'NonRes - Proposed Fixture'!H15,'NonRes - Proposed Fixture'!I15,'NonRes - Proposed Fixture'!L15)&amp;".","")</f>
        <v>.</v>
      </c>
      <c r="R69" s="155"/>
      <c r="S69" s="155"/>
      <c r="T69" s="155"/>
    </row>
    <row r="70" spans="1:22" x14ac:dyDescent="0.3">
      <c r="C70" s="372"/>
      <c r="D70" s="373"/>
      <c r="E70" s="373"/>
      <c r="F70" s="374"/>
      <c r="G70" s="375"/>
      <c r="H70" s="250">
        <f t="shared" si="0"/>
        <v>0</v>
      </c>
      <c r="I70" s="376"/>
      <c r="J70" s="375"/>
      <c r="K70" s="251" t="str">
        <f>IF(OR(Project_Info_Comm28[[#This Row],[Mounting Type Fixture/Application]]=0,Project_Info_Comm28[[#This Row],[Mounting Type Fixture/Application]]="Choose from dropdown"),"",VLOOKUP(Project_Info_Comm28[[#This Row],[Mounting Type Fixture/Application]],'Non-res - Ordinance Values'!$B$3:$C$13,2,FALSE))</f>
        <v/>
      </c>
      <c r="L70" s="375"/>
      <c r="M70" s="375"/>
      <c r="N70" s="251" t="str">
        <f>_xlfn.IFNA(IF(AND(Project_Info_Comm28[[#This Row],[Proposed/Existing?]]='NonRes - Proposed Fixture'!$A$2,$D$92="No"),"Existing to Remain",'NonRes - Proposed Fixture'!U16),"")</f>
        <v>More info needed</v>
      </c>
      <c r="O70" s="256" t="str">
        <f>_xlfn.IFNA(_xlfn.TEXTJOIN(" ",TRUE,'NonRes - Proposed Fixture'!E16,'NonRes - Proposed Fixture'!F16,'NonRes - Proposed Fixture'!H16,'NonRes - Proposed Fixture'!I16,'NonRes - Proposed Fixture'!L16)&amp;".","")</f>
        <v>.</v>
      </c>
      <c r="R70" s="155"/>
      <c r="S70" s="155"/>
      <c r="T70" s="155"/>
    </row>
    <row r="71" spans="1:22" ht="147" customHeight="1" thickBot="1" x14ac:dyDescent="0.35">
      <c r="A71" s="331"/>
      <c r="B71" s="331"/>
      <c r="C71" s="331"/>
      <c r="D71" s="331"/>
      <c r="E71" s="331"/>
      <c r="F71" s="331"/>
      <c r="G71" s="331"/>
      <c r="H71" s="331"/>
      <c r="I71" s="331"/>
      <c r="J71" s="331"/>
      <c r="K71" s="331"/>
      <c r="L71" s="331"/>
      <c r="M71" s="331"/>
      <c r="N71" s="331"/>
      <c r="O71" s="331"/>
      <c r="P71" s="331"/>
      <c r="Q71" s="331"/>
      <c r="R71" s="331"/>
      <c r="S71" s="331"/>
      <c r="T71" s="331"/>
      <c r="U71" s="331"/>
      <c r="V71" s="331"/>
    </row>
    <row r="72" spans="1:22" ht="33" customHeight="1" thickTop="1" x14ac:dyDescent="0.3">
      <c r="B72" s="332" t="s">
        <v>322</v>
      </c>
    </row>
    <row r="74" spans="1:22" ht="43.2" customHeight="1" x14ac:dyDescent="0.3">
      <c r="C74" s="169" t="s">
        <v>124</v>
      </c>
      <c r="D74" s="304" t="s">
        <v>123</v>
      </c>
      <c r="E74" s="304" t="s">
        <v>120</v>
      </c>
      <c r="F74" s="304" t="s">
        <v>121</v>
      </c>
      <c r="G74" s="171" t="s">
        <v>122</v>
      </c>
      <c r="P74" s="105" t="s">
        <v>346</v>
      </c>
    </row>
    <row r="75" spans="1:22" ht="30" x14ac:dyDescent="0.3">
      <c r="C75" s="249" t="s">
        <v>118</v>
      </c>
      <c r="D75" s="257">
        <f>MAX(1,SUM(Allowance_Selection27[Calculated Allowance]))</f>
        <v>7592</v>
      </c>
      <c r="E75" s="239" t="s">
        <v>7</v>
      </c>
      <c r="F75" s="239"/>
      <c r="G75" s="258" t="s">
        <v>295</v>
      </c>
    </row>
    <row r="76" spans="1:22" x14ac:dyDescent="0.3">
      <c r="C76" s="259"/>
      <c r="D76" s="260"/>
      <c r="E76" s="260"/>
      <c r="F76" s="260"/>
      <c r="G76" s="246"/>
    </row>
    <row r="77" spans="1:22" ht="30" hidden="1" x14ac:dyDescent="0.3">
      <c r="C77" s="241" t="s">
        <v>218</v>
      </c>
      <c r="D77" s="120">
        <f ca="1">SUM(H60:H70)-SUMIF(D60:H70,'Non-res - Ordinance Values'!B20,H60:H70)</f>
        <v>1750</v>
      </c>
      <c r="E77" s="239" t="s">
        <v>7</v>
      </c>
      <c r="F77" s="239"/>
      <c r="G77" s="190"/>
    </row>
    <row r="78" spans="1:22" ht="60" x14ac:dyDescent="0.3">
      <c r="C78" s="241" t="s">
        <v>128</v>
      </c>
      <c r="D78" s="121">
        <f ca="1">D77/D75</f>
        <v>0.23050579557428871</v>
      </c>
      <c r="E78" s="239"/>
      <c r="F78" s="261" t="str">
        <f ca="1">IF(D77&gt;D75*0.2,"FAIL","PASS")</f>
        <v>FAIL</v>
      </c>
      <c r="G78" s="262" t="s">
        <v>165</v>
      </c>
    </row>
    <row r="79" spans="1:22" ht="41.55" customHeight="1" x14ac:dyDescent="0.3">
      <c r="C79" s="263" t="s">
        <v>119</v>
      </c>
      <c r="D79" s="264">
        <f>SUM(Project_Info_Comm28[Total Lumens])</f>
        <v>2250</v>
      </c>
      <c r="E79" s="264" t="s">
        <v>7</v>
      </c>
      <c r="F79" s="265" t="str">
        <f>IF(OR(D79&gt;D75,'NonRes Parcel Fail Analysis'!B10="More than 40% of lumens proposed - change project scope (C30), "),"FAIL","PASS")</f>
        <v>PASS</v>
      </c>
      <c r="G79" s="266" t="str">
        <f>IF('NonRes Parcel Fail Analysis'!E10="FAIL","More than 40% of lumens proposed - change project scope (C30)","")</f>
        <v/>
      </c>
      <c r="H79" s="176"/>
      <c r="I79" s="122"/>
      <c r="K79" s="168"/>
      <c r="L79" s="191"/>
      <c r="M79" s="105"/>
      <c r="N79" s="105"/>
      <c r="Q79" s="155"/>
      <c r="R79" s="155"/>
      <c r="S79" s="155"/>
    </row>
    <row r="80" spans="1:22" ht="61.5" customHeight="1" thickBot="1" x14ac:dyDescent="0.35">
      <c r="A80" s="331"/>
      <c r="B80" s="331"/>
      <c r="C80" s="331"/>
      <c r="D80" s="331"/>
      <c r="E80" s="331"/>
      <c r="F80" s="331"/>
      <c r="G80" s="331"/>
      <c r="H80" s="331"/>
      <c r="I80" s="331"/>
      <c r="J80" s="331"/>
      <c r="K80" s="331"/>
      <c r="L80" s="331"/>
      <c r="M80" s="331"/>
      <c r="N80" s="331"/>
      <c r="O80" s="331"/>
      <c r="P80" s="331"/>
      <c r="Q80" s="331"/>
      <c r="R80" s="331"/>
      <c r="S80" s="331"/>
      <c r="T80" s="331"/>
      <c r="U80" s="331"/>
      <c r="V80" s="331"/>
    </row>
    <row r="81" spans="1:22" ht="36" customHeight="1" thickTop="1" x14ac:dyDescent="0.3">
      <c r="B81" s="168" t="s">
        <v>323</v>
      </c>
    </row>
    <row r="82" spans="1:22" x14ac:dyDescent="0.3">
      <c r="C82" s="105" t="s">
        <v>248</v>
      </c>
    </row>
    <row r="83" spans="1:22" ht="30" x14ac:dyDescent="0.3">
      <c r="C83" s="169" t="s">
        <v>198</v>
      </c>
      <c r="D83" s="187" t="s">
        <v>216</v>
      </c>
      <c r="E83" s="187" t="s">
        <v>285</v>
      </c>
      <c r="F83" s="187" t="s">
        <v>121</v>
      </c>
      <c r="G83" s="171" t="s">
        <v>122</v>
      </c>
      <c r="K83" s="155"/>
      <c r="N83" s="105"/>
    </row>
    <row r="84" spans="1:22" x14ac:dyDescent="0.3">
      <c r="C84" s="267" t="str">
        <f>'Non-res - Ordinance Values'!$B$25</f>
        <v>Building Entrance(s)</v>
      </c>
      <c r="D84" s="120">
        <f>SUMIF(Project_Info_Comm28[Site Lumen Allowance Type],C84,Project_Info_Comm28[Total Lumens])</f>
        <v>400</v>
      </c>
      <c r="E84" s="120">
        <f t="shared" ref="E84:E89" si="1">F46</f>
        <v>1000</v>
      </c>
      <c r="F84" s="239" t="str">
        <f>IF(D84&gt;E84,"FAIL","PASS")</f>
        <v>PASS</v>
      </c>
      <c r="G84" s="105" t="str">
        <f>IF(Nonres_analysis30[[#This Row],[PASS/FAIL]]="FAIL",_xlfn.CONCAT("Proposed lumens exceed allowed for ",Nonres_analysis30[[#This Row],[Application]]),"")</f>
        <v/>
      </c>
      <c r="K84" s="155"/>
      <c r="N84" s="105"/>
    </row>
    <row r="85" spans="1:22" x14ac:dyDescent="0.3">
      <c r="C85" s="267" t="str">
        <f>'Non-res - Ordinance Values'!B$26</f>
        <v>Building Facade</v>
      </c>
      <c r="D85" s="120">
        <f>SUMIF(Project_Info_Comm28[Site Lumen Allowance Type],C85,Project_Info_Comm28[Total Lumens])</f>
        <v>150</v>
      </c>
      <c r="E85" s="120">
        <f t="shared" si="1"/>
        <v>192</v>
      </c>
      <c r="F85" s="239" t="str">
        <f t="shared" ref="F85:F89" si="2">IF(D85&gt;E85,"FAIL","PASS")</f>
        <v>PASS</v>
      </c>
      <c r="G85" s="244" t="str">
        <f>IF(Nonres_analysis30[[#This Row],[PASS/FAIL]]="FAIL",_xlfn.CONCAT("Proposed lumens exceed allowed for ",Nonres_analysis30[[#This Row],[Application]]),"")</f>
        <v/>
      </c>
      <c r="K85" s="155"/>
      <c r="N85" s="105"/>
    </row>
    <row r="86" spans="1:22" x14ac:dyDescent="0.3">
      <c r="C86" s="267" t="str">
        <f>'Non-res - Ordinance Values'!B$27</f>
        <v>Nighttime Service Loading</v>
      </c>
      <c r="D86" s="120">
        <f>SUMIF(Project_Info_Comm28[Site Lumen Allowance Type],C86,Project_Info_Comm28[Total Lumens])</f>
        <v>600</v>
      </c>
      <c r="E86" s="120">
        <f t="shared" si="1"/>
        <v>4000</v>
      </c>
      <c r="F86" s="239" t="str">
        <f t="shared" si="2"/>
        <v>PASS</v>
      </c>
      <c r="G86" s="244" t="str">
        <f>IF(Nonres_analysis30[[#This Row],[PASS/FAIL]]="FAIL",_xlfn.CONCAT("Proposed lumens exceed allowed for ",Nonres_analysis30[[#This Row],[Application]]),"")</f>
        <v/>
      </c>
      <c r="K86" s="155"/>
      <c r="N86" s="105"/>
    </row>
    <row r="87" spans="1:22" x14ac:dyDescent="0.3">
      <c r="C87" s="267" t="str">
        <f>'Non-res - Ordinance Values'!B$28</f>
        <v>Surface parking</v>
      </c>
      <c r="D87" s="120">
        <f>SUMIF(Project_Info_Comm28[Site Lumen Allowance Type],C87,Project_Info_Comm28[Total Lumens])</f>
        <v>0</v>
      </c>
      <c r="E87" s="120">
        <f t="shared" si="1"/>
        <v>2400</v>
      </c>
      <c r="F87" s="239" t="str">
        <f t="shared" si="2"/>
        <v>PASS</v>
      </c>
      <c r="G87" s="244" t="str">
        <f>IF(Nonres_analysis30[[#This Row],[PASS/FAIL]]="FAIL",_xlfn.CONCAT("Proposed lumens exceed allowed for ",Nonres_analysis30[[#This Row],[Application]]),"")</f>
        <v/>
      </c>
      <c r="K87" s="155"/>
      <c r="N87" s="105"/>
    </row>
    <row r="88" spans="1:22" x14ac:dyDescent="0.3">
      <c r="C88" s="267" t="str">
        <f>'Non-res - Ordinance Values'!B$29</f>
        <v>Gas Station Canopy</v>
      </c>
      <c r="D88" s="120">
        <f>SUMIF(Project_Info_Comm28[Site Lumen Allowance Type],C88,Project_Info_Comm28[Total Lumens])</f>
        <v>0</v>
      </c>
      <c r="E88" s="120">
        <f t="shared" si="1"/>
        <v>0</v>
      </c>
      <c r="F88" s="239" t="str">
        <f t="shared" si="2"/>
        <v>PASS</v>
      </c>
      <c r="G88" s="244" t="str">
        <f>IF(Nonres_analysis30[[#This Row],[PASS/FAIL]]="FAIL",_xlfn.CONCAT("Proposed lumens exceed allowed for ",Nonres_analysis30[[#This Row],[Application]]),"")</f>
        <v/>
      </c>
      <c r="K88" s="155"/>
      <c r="N88" s="105"/>
    </row>
    <row r="89" spans="1:22" x14ac:dyDescent="0.3">
      <c r="C89" s="267" t="str">
        <f>'Non-res - Ordinance Values'!B$30</f>
        <v>Outdoor Dining</v>
      </c>
      <c r="D89" s="120">
        <f>SUMIF(Project_Info_Comm28[Site Lumen Allowance Type],C89,Project_Info_Comm28[Total Lumens])</f>
        <v>0</v>
      </c>
      <c r="E89" s="120">
        <f t="shared" si="1"/>
        <v>0</v>
      </c>
      <c r="F89" s="239" t="str">
        <f t="shared" si="2"/>
        <v>PASS</v>
      </c>
      <c r="G89" s="244" t="str">
        <f>IF(Nonres_analysis30[[#This Row],[PASS/FAIL]]="FAIL",_xlfn.CONCAT("Proposed lumens exceed allowed for ",Nonres_analysis30[[#This Row],[Application]]),"")</f>
        <v/>
      </c>
      <c r="K89" s="155"/>
      <c r="N89" s="105"/>
    </row>
    <row r="90" spans="1:22" x14ac:dyDescent="0.3">
      <c r="C90" s="192"/>
      <c r="D90" s="193"/>
      <c r="E90" s="194"/>
      <c r="F90" s="125"/>
      <c r="G90" s="126" t="str">
        <f>IF(Nonres_analysis30[[#This Row],[PASS/FAIL]]="FAIL",_xlfn.CONCAT("Proposed lumens exceed allowed for ",Nonres_analysis30[[#This Row],[Application]]),"")</f>
        <v/>
      </c>
      <c r="K90" s="155"/>
      <c r="N90" s="105"/>
    </row>
    <row r="91" spans="1:22" ht="19.05" customHeight="1" thickBot="1" x14ac:dyDescent="0.35">
      <c r="C91" s="176"/>
      <c r="D91" s="207"/>
      <c r="G91" s="208"/>
    </row>
    <row r="92" spans="1:22" ht="47.25" customHeight="1" thickBot="1" x14ac:dyDescent="0.35">
      <c r="C92" s="305" t="str">
        <f>C32</f>
        <v>Scope triggers entire property into compliance?</v>
      </c>
      <c r="D92" s="306" t="str">
        <f>D32</f>
        <v>No</v>
      </c>
      <c r="E92" s="573" t="str">
        <f>IF(D92="Yes", "Whole parcel compliance required - do not fill out existing parcel analysis","Only fill out existing parcel analysis if proposed parcel does not comply")</f>
        <v>Only fill out existing parcel analysis if proposed parcel does not comply</v>
      </c>
      <c r="F92" s="573"/>
      <c r="G92" s="573"/>
    </row>
    <row r="93" spans="1:22" ht="150.44999999999999" customHeight="1" thickBot="1" x14ac:dyDescent="0.35">
      <c r="A93" s="331"/>
      <c r="B93" s="331"/>
      <c r="C93" s="331"/>
      <c r="D93" s="331"/>
      <c r="E93" s="331"/>
      <c r="F93" s="331"/>
      <c r="G93" s="331"/>
      <c r="H93" s="331"/>
      <c r="I93" s="331"/>
      <c r="J93" s="331"/>
      <c r="K93" s="331"/>
      <c r="L93" s="331"/>
      <c r="M93" s="331"/>
      <c r="N93" s="331"/>
      <c r="O93" s="331"/>
      <c r="P93" s="331"/>
      <c r="Q93" s="331"/>
      <c r="R93" s="331"/>
      <c r="S93" s="331"/>
      <c r="T93" s="331"/>
      <c r="U93" s="331"/>
      <c r="V93" s="331"/>
    </row>
    <row r="94" spans="1:22" ht="25.05" hidden="1" customHeight="1" x14ac:dyDescent="0.3">
      <c r="B94" s="176">
        <f>IF(D92="YES",1,0)</f>
        <v>0</v>
      </c>
      <c r="D94" s="176"/>
      <c r="E94" s="176"/>
      <c r="F94" s="176"/>
      <c r="G94" s="176"/>
      <c r="H94" s="176"/>
    </row>
    <row r="95" spans="1:22" ht="18" customHeight="1" thickTop="1" thickBot="1" x14ac:dyDescent="0.35">
      <c r="A95" s="331"/>
      <c r="B95" s="331"/>
      <c r="C95" s="331"/>
      <c r="D95" s="331"/>
      <c r="E95" s="331"/>
      <c r="F95" s="331"/>
      <c r="G95" s="331"/>
      <c r="H95" s="331"/>
      <c r="I95" s="331"/>
      <c r="J95" s="331"/>
      <c r="K95" s="331"/>
      <c r="L95" s="331"/>
      <c r="M95" s="331"/>
      <c r="N95" s="331"/>
      <c r="O95" s="331"/>
      <c r="P95" s="331"/>
      <c r="Q95" s="331"/>
      <c r="R95" s="331"/>
      <c r="S95" s="331"/>
      <c r="T95" s="331"/>
      <c r="U95" s="331"/>
      <c r="V95" s="331"/>
    </row>
    <row r="96" spans="1:22" ht="34.950000000000003" customHeight="1" thickTop="1" x14ac:dyDescent="0.3">
      <c r="B96" s="332" t="s">
        <v>318</v>
      </c>
    </row>
    <row r="97" spans="3:15" ht="6.45" customHeight="1" x14ac:dyDescent="0.3"/>
    <row r="98" spans="3:15" ht="9.4499999999999993" customHeight="1" x14ac:dyDescent="0.3"/>
    <row r="99" spans="3:15" ht="53.55" customHeight="1" x14ac:dyDescent="0.3">
      <c r="C99" s="566" t="s">
        <v>185</v>
      </c>
      <c r="D99" s="566"/>
      <c r="E99" s="566"/>
      <c r="F99" s="566"/>
      <c r="G99" s="566"/>
      <c r="H99" s="566"/>
    </row>
    <row r="100" spans="3:15" ht="2.5499999999999998" customHeight="1" x14ac:dyDescent="0.3"/>
    <row r="101" spans="3:15" ht="58.2" customHeight="1" x14ac:dyDescent="0.3">
      <c r="C101" s="574" t="s">
        <v>330</v>
      </c>
      <c r="D101" s="430"/>
      <c r="E101" s="430"/>
      <c r="F101" s="430"/>
      <c r="G101" s="430"/>
      <c r="H101" s="430"/>
    </row>
    <row r="102" spans="3:15" ht="113.55" customHeight="1" x14ac:dyDescent="0.3"/>
    <row r="103" spans="3:15" ht="37.200000000000003" customHeight="1" x14ac:dyDescent="0.3">
      <c r="C103" s="195" t="s">
        <v>163</v>
      </c>
      <c r="D103" s="196" t="s">
        <v>131</v>
      </c>
      <c r="E103" s="196" t="s">
        <v>414</v>
      </c>
      <c r="F103" s="195" t="s">
        <v>3</v>
      </c>
      <c r="G103" s="195" t="s">
        <v>4</v>
      </c>
      <c r="H103" s="195" t="s">
        <v>6</v>
      </c>
      <c r="I103" s="195" t="s">
        <v>9</v>
      </c>
      <c r="J103" s="195" t="s">
        <v>148</v>
      </c>
      <c r="K103" s="195" t="s">
        <v>153</v>
      </c>
      <c r="L103" s="195" t="s">
        <v>152</v>
      </c>
      <c r="M103" s="195" t="s">
        <v>221</v>
      </c>
      <c r="N103" s="195" t="s">
        <v>189</v>
      </c>
      <c r="O103" s="197" t="s">
        <v>70</v>
      </c>
    </row>
    <row r="104" spans="3:15" ht="30" x14ac:dyDescent="0.3">
      <c r="C104" s="363" t="s">
        <v>390</v>
      </c>
      <c r="D104" s="357" t="s">
        <v>93</v>
      </c>
      <c r="E104" s="357" t="s">
        <v>187</v>
      </c>
      <c r="F104" s="409">
        <v>400</v>
      </c>
      <c r="G104" s="365">
        <v>1</v>
      </c>
      <c r="H104" s="250">
        <f t="shared" ref="H104:H115" si="3">F104*G104</f>
        <v>400</v>
      </c>
      <c r="I104" s="366">
        <v>2800</v>
      </c>
      <c r="J104" s="367" t="s">
        <v>370</v>
      </c>
      <c r="K104" s="251" t="str">
        <f>IF(OR(Existing_Info1631[[#This Row],[Mounting Type Fixture/Application]]=0,Existing_Info1631[[#This Row],[Mounting Type Fixture/Application]]="Choose from dropdown"),"",VLOOKUP(Existing_Info1631[[#This Row],[Mounting Type Fixture/Application]],'Non-res - Ordinance Values'!$B$3:$C$13,2,FALSE))</f>
        <v>Does not apply</v>
      </c>
      <c r="L104" s="365">
        <v>10</v>
      </c>
      <c r="M104" s="365" t="s">
        <v>232</v>
      </c>
      <c r="N104" s="397" t="str">
        <f>'Nonres - existing fixtures'!Q6</f>
        <v>Pass</v>
      </c>
      <c r="O104" s="408" t="str">
        <f>_xlfn.IFNA(_xlfn.TEXTJOIN(" ",TRUE,'Nonres - existing fixtures'!D6,'Nonres - existing fixtures'!F6,'Nonres - existing fixtures'!G6,'Nonres - existing fixtures'!J6)&amp;".","")</f>
        <v>.</v>
      </c>
    </row>
    <row r="105" spans="3:15" ht="15.6" x14ac:dyDescent="0.3">
      <c r="C105" s="368" t="s">
        <v>391</v>
      </c>
      <c r="D105" s="369" t="s">
        <v>73</v>
      </c>
      <c r="E105" s="369" t="s">
        <v>187</v>
      </c>
      <c r="F105" s="410">
        <v>300</v>
      </c>
      <c r="G105" s="365">
        <v>2</v>
      </c>
      <c r="H105" s="250">
        <f t="shared" si="3"/>
        <v>600</v>
      </c>
      <c r="I105" s="366">
        <v>2800</v>
      </c>
      <c r="J105" s="365" t="s">
        <v>202</v>
      </c>
      <c r="K105" s="251" t="str">
        <f>IF(OR(Existing_Info1631[[#This Row],[Mounting Type Fixture/Application]]=0,Existing_Info1631[[#This Row],[Mounting Type Fixture/Application]]="Choose from dropdown"),"",VLOOKUP(Existing_Info1631[[#This Row],[Mounting Type Fixture/Application]],'Non-res - Ordinance Values'!$B$3:$C$13,2,FALSE))</f>
        <v>Does not apply</v>
      </c>
      <c r="L105" s="365">
        <v>10</v>
      </c>
      <c r="M105" s="365" t="s">
        <v>222</v>
      </c>
      <c r="N105" s="397" t="str">
        <f>'Nonres - existing fixtures'!Q7</f>
        <v>Pass</v>
      </c>
      <c r="O105" s="408" t="str">
        <f>_xlfn.IFNA(_xlfn.TEXTJOIN(" ",TRUE,'Nonres - existing fixtures'!D7,'Nonres - existing fixtures'!F7,'Nonres - existing fixtures'!G7,'Nonres - existing fixtures'!J7)&amp;".","")</f>
        <v>.</v>
      </c>
    </row>
    <row r="106" spans="3:15" ht="24" customHeight="1" x14ac:dyDescent="0.3">
      <c r="C106" s="369" t="s">
        <v>396</v>
      </c>
      <c r="D106" s="377" t="s">
        <v>93</v>
      </c>
      <c r="E106" s="377" t="s">
        <v>415</v>
      </c>
      <c r="F106" s="410">
        <v>200</v>
      </c>
      <c r="G106" s="365">
        <v>5</v>
      </c>
      <c r="H106" s="307">
        <f t="shared" si="3"/>
        <v>1000</v>
      </c>
      <c r="I106" s="371">
        <v>3000</v>
      </c>
      <c r="J106" s="365" t="s">
        <v>370</v>
      </c>
      <c r="K106" s="251" t="str">
        <f>IF(OR(Existing_Info1631[[#This Row],[Mounting Type Fixture/Application]]=0,Existing_Info1631[[#This Row],[Mounting Type Fixture/Application]]="Choose from dropdown"),"",VLOOKUP(Existing_Info1631[[#This Row],[Mounting Type Fixture/Application]],'Non-res - Ordinance Values'!$B$3:$C$13,2,FALSE))</f>
        <v>Does not apply</v>
      </c>
      <c r="L106" s="365">
        <v>7</v>
      </c>
      <c r="M106" s="365" t="s">
        <v>374</v>
      </c>
      <c r="N106" s="397" t="str">
        <f>'Nonres - existing fixtures'!Q8</f>
        <v>Pass</v>
      </c>
      <c r="O106" s="408" t="str">
        <f>_xlfn.IFNA(_xlfn.TEXTJOIN(" ",TRUE,'Nonres - existing fixtures'!D8,'Nonres - existing fixtures'!F8,'Nonres - existing fixtures'!G8,'Nonres - existing fixtures'!J8)&amp;".","")</f>
        <v>.</v>
      </c>
    </row>
    <row r="107" spans="3:15" ht="15.6" x14ac:dyDescent="0.3">
      <c r="C107" s="369" t="s">
        <v>397</v>
      </c>
      <c r="D107" s="377" t="s">
        <v>73</v>
      </c>
      <c r="E107" s="377" t="s">
        <v>415</v>
      </c>
      <c r="F107" s="410">
        <v>400</v>
      </c>
      <c r="G107" s="365">
        <v>1</v>
      </c>
      <c r="H107" s="307">
        <f t="shared" si="3"/>
        <v>400</v>
      </c>
      <c r="I107" s="371">
        <v>2500</v>
      </c>
      <c r="J107" s="365" t="s">
        <v>372</v>
      </c>
      <c r="K107" s="251" t="str">
        <f>IF(OR(Existing_Info1631[[#This Row],[Mounting Type Fixture/Application]]=0,Existing_Info1631[[#This Row],[Mounting Type Fixture/Application]]="Choose from dropdown"),"",VLOOKUP(Existing_Info1631[[#This Row],[Mounting Type Fixture/Application]],'Non-res - Ordinance Values'!$B$3:$C$13,2,FALSE))</f>
        <v>Does not apply</v>
      </c>
      <c r="L107" s="365">
        <v>2</v>
      </c>
      <c r="M107" s="365" t="s">
        <v>374</v>
      </c>
      <c r="N107" s="397" t="str">
        <f>'Nonres - existing fixtures'!Q9</f>
        <v>Pass</v>
      </c>
      <c r="O107" s="408" t="str">
        <f>_xlfn.IFNA(_xlfn.TEXTJOIN(" ",TRUE,'Nonres - existing fixtures'!D9,'Nonres - existing fixtures'!F9,'Nonres - existing fixtures'!G9,'Nonres - existing fixtures'!J9)&amp;".","")</f>
        <v>.</v>
      </c>
    </row>
    <row r="108" spans="3:15" ht="15.6" x14ac:dyDescent="0.3">
      <c r="C108" s="369"/>
      <c r="D108" s="377"/>
      <c r="E108" s="377"/>
      <c r="F108" s="410"/>
      <c r="G108" s="365"/>
      <c r="H108" s="307">
        <f t="shared" si="3"/>
        <v>0</v>
      </c>
      <c r="I108" s="371"/>
      <c r="J108" s="365"/>
      <c r="K108" s="251" t="str">
        <f>IF(OR(Existing_Info1631[[#This Row],[Mounting Type Fixture/Application]]=0,Existing_Info1631[[#This Row],[Mounting Type Fixture/Application]]="Choose from dropdown"),"",VLOOKUP(Existing_Info1631[[#This Row],[Mounting Type Fixture/Application]],'Non-res - Ordinance Values'!$B$3:$C$13,2,FALSE))</f>
        <v/>
      </c>
      <c r="L108" s="365"/>
      <c r="M108" s="365"/>
      <c r="N108" s="397" t="str">
        <f>'Nonres - existing fixtures'!Q10</f>
        <v>Pass</v>
      </c>
      <c r="O108" s="408" t="str">
        <f>_xlfn.IFNA(_xlfn.TEXTJOIN(" ",TRUE,'Nonres - existing fixtures'!D10,'Nonres - existing fixtures'!F10,'Nonres - existing fixtures'!G10,'Nonres - existing fixtures'!J10)&amp;".","")</f>
        <v>.</v>
      </c>
    </row>
    <row r="109" spans="3:15" ht="15.6" x14ac:dyDescent="0.3">
      <c r="C109" s="369"/>
      <c r="D109" s="377"/>
      <c r="E109" s="377"/>
      <c r="F109" s="410"/>
      <c r="G109" s="365"/>
      <c r="H109" s="307">
        <f t="shared" si="3"/>
        <v>0</v>
      </c>
      <c r="I109" s="371"/>
      <c r="J109" s="365"/>
      <c r="K109" s="251" t="str">
        <f>IF(OR(Existing_Info1631[[#This Row],[Mounting Type Fixture/Application]]=0,Existing_Info1631[[#This Row],[Mounting Type Fixture/Application]]="Choose from dropdown"),"",VLOOKUP(Existing_Info1631[[#This Row],[Mounting Type Fixture/Application]],'Non-res - Ordinance Values'!$B$3:$C$13,2,FALSE))</f>
        <v/>
      </c>
      <c r="L109" s="365"/>
      <c r="M109" s="365"/>
      <c r="N109" s="397" t="str">
        <f>'Nonres - existing fixtures'!Q11</f>
        <v>Pass</v>
      </c>
      <c r="O109" s="408" t="str">
        <f>_xlfn.IFNA(_xlfn.TEXTJOIN(" ",TRUE,'Nonres - existing fixtures'!D11,'Nonres - existing fixtures'!F11,'Nonres - existing fixtures'!G11,'Nonres - existing fixtures'!J11)&amp;".","")</f>
        <v>.</v>
      </c>
    </row>
    <row r="110" spans="3:15" ht="15.6" x14ac:dyDescent="0.3">
      <c r="C110" s="369"/>
      <c r="D110" s="377"/>
      <c r="E110" s="377"/>
      <c r="F110" s="410"/>
      <c r="G110" s="365"/>
      <c r="H110" s="307">
        <f t="shared" si="3"/>
        <v>0</v>
      </c>
      <c r="I110" s="371"/>
      <c r="J110" s="365"/>
      <c r="K110" s="251" t="str">
        <f>IF(OR(Existing_Info1631[[#This Row],[Mounting Type Fixture/Application]]=0,Existing_Info1631[[#This Row],[Mounting Type Fixture/Application]]="Choose from dropdown"),"",VLOOKUP(Existing_Info1631[[#This Row],[Mounting Type Fixture/Application]],'Non-res - Ordinance Values'!$B$3:$C$13,2,FALSE))</f>
        <v/>
      </c>
      <c r="L110" s="365"/>
      <c r="M110" s="365"/>
      <c r="N110" s="397" t="str">
        <f>'Nonres - existing fixtures'!Q12</f>
        <v>Pass</v>
      </c>
      <c r="O110" s="408" t="str">
        <f>_xlfn.IFNA(_xlfn.TEXTJOIN(" ",TRUE,'Nonres - existing fixtures'!D12,'Nonres - existing fixtures'!F12,'Nonres - existing fixtures'!G12,'Nonres - existing fixtures'!J12)&amp;".","")</f>
        <v>.</v>
      </c>
    </row>
    <row r="111" spans="3:15" ht="15.6" x14ac:dyDescent="0.3">
      <c r="C111" s="369"/>
      <c r="D111" s="377"/>
      <c r="E111" s="377"/>
      <c r="F111" s="410"/>
      <c r="G111" s="365"/>
      <c r="H111" s="307">
        <f t="shared" si="3"/>
        <v>0</v>
      </c>
      <c r="I111" s="371"/>
      <c r="J111" s="365"/>
      <c r="K111" s="251" t="str">
        <f>IF(OR(Existing_Info1631[[#This Row],[Mounting Type Fixture/Application]]=0,Existing_Info1631[[#This Row],[Mounting Type Fixture/Application]]="Choose from dropdown"),"",VLOOKUP(Existing_Info1631[[#This Row],[Mounting Type Fixture/Application]],'Non-res - Ordinance Values'!$B$3:$C$13,2,FALSE))</f>
        <v/>
      </c>
      <c r="L111" s="365"/>
      <c r="M111" s="365"/>
      <c r="N111" s="397" t="str">
        <f>'Nonres - existing fixtures'!Q13</f>
        <v>Pass</v>
      </c>
      <c r="O111" s="408" t="str">
        <f>_xlfn.IFNA(_xlfn.TEXTJOIN(" ",TRUE,'Nonres - existing fixtures'!D13,'Nonres - existing fixtures'!F13,'Nonres - existing fixtures'!G13,'Nonres - existing fixtures'!J13)&amp;".","")</f>
        <v>.</v>
      </c>
    </row>
    <row r="112" spans="3:15" ht="15.6" x14ac:dyDescent="0.3">
      <c r="C112" s="369"/>
      <c r="D112" s="377"/>
      <c r="E112" s="377"/>
      <c r="F112" s="410"/>
      <c r="G112" s="365"/>
      <c r="H112" s="307">
        <f t="shared" si="3"/>
        <v>0</v>
      </c>
      <c r="I112" s="371"/>
      <c r="J112" s="365"/>
      <c r="K112" s="251" t="str">
        <f>IF(OR(Existing_Info1631[[#This Row],[Mounting Type Fixture/Application]]=0,Existing_Info1631[[#This Row],[Mounting Type Fixture/Application]]="Choose from dropdown"),"",VLOOKUP(Existing_Info1631[[#This Row],[Mounting Type Fixture/Application]],'Non-res - Ordinance Values'!$B$3:$C$13,2,FALSE))</f>
        <v/>
      </c>
      <c r="L112" s="365"/>
      <c r="M112" s="365"/>
      <c r="N112" s="397" t="str">
        <f>'Nonres - existing fixtures'!Q14</f>
        <v>Pass</v>
      </c>
      <c r="O112" s="408" t="str">
        <f>_xlfn.IFNA(_xlfn.TEXTJOIN(" ",TRUE,'Nonres - existing fixtures'!D14,'Nonres - existing fixtures'!F14,'Nonres - existing fixtures'!G14,'Nonres - existing fixtures'!J14)&amp;".","")</f>
        <v>.</v>
      </c>
    </row>
    <row r="113" spans="1:18" ht="15.6" x14ac:dyDescent="0.3">
      <c r="C113" s="369"/>
      <c r="D113" s="377"/>
      <c r="E113" s="377"/>
      <c r="F113" s="410"/>
      <c r="G113" s="365"/>
      <c r="H113" s="307">
        <f t="shared" si="3"/>
        <v>0</v>
      </c>
      <c r="I113" s="371"/>
      <c r="J113" s="365"/>
      <c r="K113" s="251" t="str">
        <f>IF(OR(Existing_Info1631[[#This Row],[Mounting Type Fixture/Application]]=0,Existing_Info1631[[#This Row],[Mounting Type Fixture/Application]]="Choose from dropdown"),"",VLOOKUP(Existing_Info1631[[#This Row],[Mounting Type Fixture/Application]],'Non-res - Ordinance Values'!$B$3:$C$13,2,FALSE))</f>
        <v/>
      </c>
      <c r="L113" s="365"/>
      <c r="M113" s="365"/>
      <c r="N113" s="397" t="str">
        <f>'Nonres - existing fixtures'!Q15</f>
        <v>Pass</v>
      </c>
      <c r="O113" s="408" t="str">
        <f>_xlfn.IFNA(_xlfn.TEXTJOIN(" ",TRUE,'Nonres - existing fixtures'!D15,'Nonres - existing fixtures'!F15,'Nonres - existing fixtures'!G15,'Nonres - existing fixtures'!J15)&amp;".","")</f>
        <v>.</v>
      </c>
    </row>
    <row r="114" spans="1:18" ht="15.6" x14ac:dyDescent="0.3">
      <c r="C114" s="369"/>
      <c r="D114" s="377"/>
      <c r="E114" s="377"/>
      <c r="F114" s="410"/>
      <c r="G114" s="365"/>
      <c r="H114" s="307">
        <f t="shared" si="3"/>
        <v>0</v>
      </c>
      <c r="I114" s="371"/>
      <c r="J114" s="365"/>
      <c r="K114" s="251" t="str">
        <f>IF(OR(Existing_Info1631[[#This Row],[Mounting Type Fixture/Application]]=0,Existing_Info1631[[#This Row],[Mounting Type Fixture/Application]]="Choose from dropdown"),"",VLOOKUP(Existing_Info1631[[#This Row],[Mounting Type Fixture/Application]],'Non-res - Ordinance Values'!$B$3:$C$13,2,FALSE))</f>
        <v/>
      </c>
      <c r="L114" s="365"/>
      <c r="M114" s="365"/>
      <c r="N114" s="397" t="str">
        <f>'Nonres - existing fixtures'!Q16</f>
        <v>Pass</v>
      </c>
      <c r="O114" s="408" t="str">
        <f>_xlfn.IFNA(_xlfn.TEXTJOIN(" ",TRUE,'Nonres - existing fixtures'!D16,'Nonres - existing fixtures'!F16,'Nonres - existing fixtures'!G16,'Nonres - existing fixtures'!J16)&amp;".","")</f>
        <v>.</v>
      </c>
    </row>
    <row r="115" spans="1:18" ht="15.6" x14ac:dyDescent="0.3">
      <c r="C115" s="373"/>
      <c r="D115" s="378"/>
      <c r="E115" s="378"/>
      <c r="F115" s="411"/>
      <c r="G115" s="375"/>
      <c r="H115" s="307">
        <f t="shared" si="3"/>
        <v>0</v>
      </c>
      <c r="I115" s="376"/>
      <c r="J115" s="365"/>
      <c r="K115" s="251" t="str">
        <f>IF(OR(Existing_Info1631[[#This Row],[Mounting Type Fixture/Application]]=0,Existing_Info1631[[#This Row],[Mounting Type Fixture/Application]]="Choose from dropdown"),"",VLOOKUP(Existing_Info1631[[#This Row],[Mounting Type Fixture/Application]],'Non-res - Ordinance Values'!$B$3:$C$13,2,FALSE))</f>
        <v/>
      </c>
      <c r="L115" s="375"/>
      <c r="M115" s="365"/>
      <c r="N115" s="397" t="str">
        <f>'Nonres - existing fixtures'!Q17</f>
        <v>Pass</v>
      </c>
      <c r="O115" s="408" t="str">
        <f>_xlfn.IFNA(_xlfn.TEXTJOIN(" ",TRUE,'Nonres - existing fixtures'!D17,'Nonres - existing fixtures'!F17,'Nonres - existing fixtures'!G17,'Nonres - existing fixtures'!J17)&amp;".","")</f>
        <v>.</v>
      </c>
    </row>
    <row r="116" spans="1:18" ht="80.55" customHeight="1" thickBot="1" x14ac:dyDescent="0.35">
      <c r="A116" s="331"/>
      <c r="B116" s="331"/>
      <c r="C116" s="331"/>
      <c r="D116" s="331"/>
      <c r="E116" s="331"/>
      <c r="F116" s="331"/>
      <c r="G116" s="331"/>
      <c r="H116" s="331"/>
      <c r="I116" s="331"/>
      <c r="J116" s="331"/>
      <c r="K116" s="331"/>
      <c r="L116" s="380"/>
      <c r="M116" s="380"/>
      <c r="N116" s="380"/>
      <c r="O116" s="331"/>
      <c r="P116" s="331"/>
      <c r="Q116" s="331"/>
      <c r="R116" s="331"/>
    </row>
    <row r="117" spans="1:18" ht="45" customHeight="1" thickTop="1" x14ac:dyDescent="0.3">
      <c r="B117" s="168" t="s">
        <v>319</v>
      </c>
      <c r="C117" s="168"/>
    </row>
    <row r="118" spans="1:18" ht="39" customHeight="1" x14ac:dyDescent="0.3">
      <c r="C118" s="169" t="s">
        <v>124</v>
      </c>
      <c r="D118" s="304" t="s">
        <v>375</v>
      </c>
      <c r="E118" s="304" t="s">
        <v>120</v>
      </c>
      <c r="F118" s="308" t="s">
        <v>376</v>
      </c>
      <c r="G118" s="304" t="s">
        <v>69</v>
      </c>
      <c r="H118" s="304" t="s">
        <v>121</v>
      </c>
      <c r="I118" s="171" t="s">
        <v>122</v>
      </c>
      <c r="L118" s="105"/>
      <c r="M118" s="105"/>
      <c r="O118" s="155"/>
      <c r="P118" s="155"/>
    </row>
    <row r="119" spans="1:18" ht="30" hidden="1" x14ac:dyDescent="0.3">
      <c r="C119" s="241" t="s">
        <v>313</v>
      </c>
      <c r="D119" s="120">
        <f>SUM(Existing_Info1631[Total Lumens])-SUMIF(Existing_Info1631[Fixture Type],'Non-res - Ordinance Values'!B58,Existing_Info1631[Total Lumens])</f>
        <v>2400</v>
      </c>
      <c r="E119" s="239" t="s">
        <v>7</v>
      </c>
      <c r="F119" s="242">
        <f ca="1">D77</f>
        <v>1750</v>
      </c>
      <c r="G119" s="239" t="s">
        <v>7</v>
      </c>
      <c r="H119" s="239" t="str">
        <f ca="1">IF(Table131732[[#This Row],[Proposed Parcel Analysis]]&gt;Table131732[[#This Row],[Existing Parcel Analysis]],"FAIL","PASS")</f>
        <v>PASS</v>
      </c>
      <c r="I119" s="190" t="str">
        <f ca="1">IF(Table131732[[#This Row],[PASS/FAIL]]="FAIL","Proposed cannot exceed existing","")</f>
        <v/>
      </c>
      <c r="L119" s="105"/>
      <c r="M119" s="105"/>
      <c r="O119" s="155"/>
      <c r="P119" s="155"/>
    </row>
    <row r="120" spans="1:18" ht="60" x14ac:dyDescent="0.3">
      <c r="C120" s="241" t="s">
        <v>314</v>
      </c>
      <c r="D120" s="121">
        <f>D119/D75</f>
        <v>0.31612223393045313</v>
      </c>
      <c r="E120" s="239"/>
      <c r="F120" s="379">
        <f ca="1">F119/D75</f>
        <v>0.23050579557428871</v>
      </c>
      <c r="G120" s="239"/>
      <c r="H120" s="239" t="str">
        <f ca="1">IF(Table131732[[#This Row],[Proposed Parcel Analysis]]&gt;Table131732[[#This Row],[Existing Parcel Analysis]],"FAIL","PASS")</f>
        <v>PASS</v>
      </c>
      <c r="I120" s="190" t="str">
        <f ca="1">IF(Table131732[[#This Row],[PASS/FAIL]]="FAIL","Proposed cannot exceed existing","")</f>
        <v/>
      </c>
      <c r="L120" s="105"/>
      <c r="M120" s="105"/>
      <c r="O120" s="155"/>
      <c r="P120" s="155"/>
    </row>
    <row r="121" spans="1:18" x14ac:dyDescent="0.3">
      <c r="C121" s="309" t="s">
        <v>380</v>
      </c>
      <c r="D121" s="264">
        <f>SUM(Existing_Info1631[Total Lumens])</f>
        <v>2400</v>
      </c>
      <c r="E121" s="310" t="s">
        <v>7</v>
      </c>
      <c r="F121" s="311">
        <f>D79</f>
        <v>2250</v>
      </c>
      <c r="G121" s="310" t="s">
        <v>7</v>
      </c>
      <c r="H121" s="310" t="str">
        <f>IF(Table131732[[#This Row],[Proposed Parcel Analysis]]&gt;Table131732[[#This Row],[Existing Parcel Analysis]],"FAIL","PASS")</f>
        <v>PASS</v>
      </c>
      <c r="I121" s="312" t="str">
        <f>IF(Table131732[[#This Row],[PASS/FAIL]]="FAIL","Proposed cannot exceed existing","")</f>
        <v/>
      </c>
      <c r="L121" s="105"/>
      <c r="M121" s="105"/>
      <c r="O121" s="155"/>
      <c r="P121" s="155"/>
    </row>
    <row r="122" spans="1:18" ht="76.5" customHeight="1" x14ac:dyDescent="0.3">
      <c r="C122" s="176"/>
      <c r="D122" s="122"/>
      <c r="F122" s="168"/>
      <c r="G122" s="191"/>
    </row>
    <row r="123" spans="1:18" ht="15.6" x14ac:dyDescent="0.3">
      <c r="B123" s="168" t="s">
        <v>324</v>
      </c>
    </row>
    <row r="124" spans="1:18" x14ac:dyDescent="0.3">
      <c r="C124" s="105" t="s">
        <v>248</v>
      </c>
    </row>
    <row r="125" spans="1:18" ht="30" x14ac:dyDescent="0.3">
      <c r="C125" s="169" t="s">
        <v>198</v>
      </c>
      <c r="D125" s="187" t="s">
        <v>315</v>
      </c>
      <c r="E125" s="187" t="s">
        <v>285</v>
      </c>
      <c r="F125" s="187" t="s">
        <v>121</v>
      </c>
      <c r="G125" s="171" t="s">
        <v>122</v>
      </c>
    </row>
    <row r="126" spans="1:18" x14ac:dyDescent="0.3">
      <c r="C126" s="267" t="str">
        <f>'Non-res - Ordinance Values'!$B$25</f>
        <v>Building Entrance(s)</v>
      </c>
      <c r="D126" s="120">
        <f>SUMIF(Existing_Info1631[Site Lumen Allowance Type],C126,Existing_Info1631[Total Lumens])</f>
        <v>400</v>
      </c>
      <c r="E126" s="120">
        <f t="shared" ref="E126:E131" si="4">F46</f>
        <v>1000</v>
      </c>
      <c r="F126" s="239" t="str">
        <f>IF(D126&gt;E126,"FAIL","PASS")</f>
        <v>PASS</v>
      </c>
      <c r="G126" s="244"/>
    </row>
    <row r="127" spans="1:18" x14ac:dyDescent="0.3">
      <c r="C127" s="267" t="str">
        <f>'Non-res - Ordinance Values'!B$26</f>
        <v>Building Facade</v>
      </c>
      <c r="D127" s="120">
        <f>SUMIF(Existing_Info1631[Site Lumen Allowance Type],C127,Existing_Info1631[Total Lumens])</f>
        <v>0</v>
      </c>
      <c r="E127" s="120">
        <f t="shared" si="4"/>
        <v>192</v>
      </c>
      <c r="F127" s="239" t="str">
        <f t="shared" ref="F127:F131" si="5">IF(D127&gt;E127,"FAIL","PASS")</f>
        <v>PASS</v>
      </c>
      <c r="G127" s="244"/>
    </row>
    <row r="128" spans="1:18" x14ac:dyDescent="0.3">
      <c r="C128" s="267" t="str">
        <f>'Non-res - Ordinance Values'!B$27</f>
        <v>Nighttime Service Loading</v>
      </c>
      <c r="D128" s="120">
        <f>SUMIF(Existing_Info1631[Site Lumen Allowance Type],C128,Existing_Info1631[Total Lumens])</f>
        <v>600</v>
      </c>
      <c r="E128" s="120">
        <f t="shared" si="4"/>
        <v>4000</v>
      </c>
      <c r="F128" s="239" t="str">
        <f t="shared" si="5"/>
        <v>PASS</v>
      </c>
      <c r="G128" s="244"/>
    </row>
    <row r="129" spans="3:7" x14ac:dyDescent="0.3">
      <c r="C129" s="267" t="str">
        <f>'Non-res - Ordinance Values'!B$28</f>
        <v>Surface parking</v>
      </c>
      <c r="D129" s="120">
        <f>SUMIF(Existing_Info1631[Site Lumen Allowance Type],C129,Existing_Info1631[Total Lumens])</f>
        <v>0</v>
      </c>
      <c r="E129" s="120">
        <f t="shared" si="4"/>
        <v>2400</v>
      </c>
      <c r="F129" s="239" t="str">
        <f t="shared" si="5"/>
        <v>PASS</v>
      </c>
      <c r="G129" s="244"/>
    </row>
    <row r="130" spans="3:7" x14ac:dyDescent="0.3">
      <c r="C130" s="267" t="str">
        <f>'Non-res - Ordinance Values'!B$29</f>
        <v>Gas Station Canopy</v>
      </c>
      <c r="D130" s="120">
        <f>SUMIF(Existing_Info1631[Site Lumen Allowance Type],C130,Existing_Info1631[Total Lumens])</f>
        <v>0</v>
      </c>
      <c r="E130" s="120">
        <f t="shared" si="4"/>
        <v>0</v>
      </c>
      <c r="F130" s="239" t="str">
        <f t="shared" si="5"/>
        <v>PASS</v>
      </c>
      <c r="G130" s="244"/>
    </row>
    <row r="131" spans="3:7" x14ac:dyDescent="0.3">
      <c r="C131" s="267" t="str">
        <f>'Non-res - Ordinance Values'!B$30</f>
        <v>Outdoor Dining</v>
      </c>
      <c r="D131" s="120">
        <f>SUMIF(Existing_Info1631[Site Lumen Allowance Type],C131,Existing_Info1631[Total Lumens])</f>
        <v>0</v>
      </c>
      <c r="E131" s="120">
        <f t="shared" si="4"/>
        <v>0</v>
      </c>
      <c r="F131" s="239" t="str">
        <f t="shared" si="5"/>
        <v>PASS</v>
      </c>
      <c r="G131" s="244"/>
    </row>
    <row r="132" spans="3:7" ht="3" customHeight="1" x14ac:dyDescent="0.3">
      <c r="C132" s="192"/>
      <c r="D132" s="193"/>
      <c r="E132" s="194"/>
      <c r="F132" s="125"/>
      <c r="G132" s="126"/>
    </row>
  </sheetData>
  <sheetProtection algorithmName="SHA-512" hashValue="Q32Q5bolPvBMXw917so1+7Jd0i7IxlOOvRhtHRm5J29MFXOORhin0dkNzLjwpCnaqvM+GUxck/2b+DtelHHmAw==" saltValue="i4O8nY3/aPlscJsXHZlVuQ==" spinCount="100000" sheet="1" objects="1" scenarios="1" selectLockedCells="1"/>
  <mergeCells count="30">
    <mergeCell ref="C55:H55"/>
    <mergeCell ref="E92:G92"/>
    <mergeCell ref="C99:H99"/>
    <mergeCell ref="C101:H101"/>
    <mergeCell ref="M34:P38"/>
    <mergeCell ref="I38:L38"/>
    <mergeCell ref="B25:C25"/>
    <mergeCell ref="J27:L27"/>
    <mergeCell ref="J28:L28"/>
    <mergeCell ref="J29:L29"/>
    <mergeCell ref="J30:L30"/>
    <mergeCell ref="J31:L31"/>
    <mergeCell ref="J32:L32"/>
    <mergeCell ref="I34:I37"/>
    <mergeCell ref="J34:J37"/>
    <mergeCell ref="K34:K37"/>
    <mergeCell ref="L34:L37"/>
    <mergeCell ref="C21:H22"/>
    <mergeCell ref="B2:H5"/>
    <mergeCell ref="B7:D7"/>
    <mergeCell ref="E7:J7"/>
    <mergeCell ref="B8:D8"/>
    <mergeCell ref="E8:J8"/>
    <mergeCell ref="B9:D9"/>
    <mergeCell ref="E9:J9"/>
    <mergeCell ref="B10:D10"/>
    <mergeCell ref="E10:J10"/>
    <mergeCell ref="B11:D11"/>
    <mergeCell ref="E11:J11"/>
    <mergeCell ref="B13:H13"/>
  </mergeCells>
  <conditionalFormatting sqref="B94:Q94 B96:Q101 B102:G102 I102:Q102 B103:O103 B104:B105 N104:O115 B106:I115 K106:L115 B116:Q117 B118:S121 B122:Q132">
    <cfRule type="expression" dxfId="57" priority="6">
      <formula>$B$94=1</formula>
    </cfRule>
  </conditionalFormatting>
  <conditionalFormatting sqref="C106:C115">
    <cfRule type="expression" dxfId="56" priority="15">
      <formula>$N106="Fail"</formula>
    </cfRule>
  </conditionalFormatting>
  <conditionalFormatting sqref="D28">
    <cfRule type="containsText" dxfId="55" priority="22" operator="containsText" text="Residential">
      <formula>NOT(ISERROR(SEARCH("Residential",D28)))</formula>
    </cfRule>
  </conditionalFormatting>
  <conditionalFormatting sqref="D78">
    <cfRule type="cellIs" dxfId="53" priority="20" operator="lessThanOrEqual">
      <formula>0.2</formula>
    </cfRule>
    <cfRule type="cellIs" dxfId="52" priority="21" operator="greaterThan">
      <formula>0.2</formula>
    </cfRule>
  </conditionalFormatting>
  <conditionalFormatting sqref="D79">
    <cfRule type="cellIs" dxfId="51" priority="9" operator="greaterThan">
      <formula>$D$75</formula>
    </cfRule>
    <cfRule type="cellIs" dxfId="50" priority="10" operator="lessThanOrEqual">
      <formula>$D$75</formula>
    </cfRule>
  </conditionalFormatting>
  <conditionalFormatting sqref="D120:D121">
    <cfRule type="cellIs" dxfId="49" priority="11" operator="lessThanOrEqual">
      <formula>0.2</formula>
    </cfRule>
    <cfRule type="cellIs" dxfId="48" priority="12" operator="greaterThan">
      <formula>0.2</formula>
    </cfRule>
  </conditionalFormatting>
  <conditionalFormatting sqref="E92:G92">
    <cfRule type="cellIs" dxfId="47" priority="4" operator="equal">
      <formula>"Only fill out existing parcel analysis if proposed parcel does not comply"</formula>
    </cfRule>
    <cfRule type="cellIs" dxfId="46" priority="5" operator="equal">
      <formula>"Whole parcel compliance required - do not fill out existing parcel analysis"</formula>
    </cfRule>
  </conditionalFormatting>
  <conditionalFormatting sqref="F75:F79 H119:H121 F122 F126:F132 K79">
    <cfRule type="containsText" dxfId="45" priority="13" operator="containsText" text="FAIL">
      <formula>NOT(ISERROR(SEARCH("FAIL",F75)))</formula>
    </cfRule>
  </conditionalFormatting>
  <conditionalFormatting sqref="F75:F79 K79 H119:H121 F122 F126:F132">
    <cfRule type="containsText" dxfId="44" priority="14" operator="containsText" text="PASS">
      <formula>NOT(ISERROR(SEARCH("PASS",F75)))</formula>
    </cfRule>
  </conditionalFormatting>
  <conditionalFormatting sqref="F79">
    <cfRule type="containsText" dxfId="43" priority="7" operator="containsText" text="FAIL">
      <formula>NOT(ISERROR(SEARCH("FAIL",F79)))</formula>
    </cfRule>
    <cfRule type="containsText" dxfId="42" priority="8" operator="containsText" text="PASS">
      <formula>NOT(ISERROR(SEARCH("PASS",F79)))</formula>
    </cfRule>
  </conditionalFormatting>
  <conditionalFormatting sqref="I27">
    <cfRule type="cellIs" dxfId="41" priority="23" operator="lessThan">
      <formula>0</formula>
    </cfRule>
  </conditionalFormatting>
  <conditionalFormatting sqref="J34:J35 F84:F91">
    <cfRule type="containsText" dxfId="40" priority="2" operator="containsText" text="TEMP PASS">
      <formula>NOT(ISERROR(SEARCH("TEMP PASS",F34)))</formula>
    </cfRule>
    <cfRule type="containsText" dxfId="39" priority="24" operator="containsText" text="FAIL">
      <formula>NOT(ISERROR(SEARCH("FAIL",F34)))</formula>
    </cfRule>
    <cfRule type="containsText" dxfId="38" priority="25" operator="containsText" text="PASS">
      <formula>NOT(ISERROR(SEARCH("PASS",F34)))</formula>
    </cfRule>
  </conditionalFormatting>
  <conditionalFormatting sqref="M34:P38">
    <cfRule type="cellIs" dxfId="37" priority="1" operator="equal">
      <formula>"City of Aspen Land Use Code requires all fixtures, including existing or current, to comply with this new lighting code by XX/XX/2028. Your current lighting plan leaves fixtures remaining that must be fixed by this date."</formula>
    </cfRule>
  </conditionalFormatting>
  <conditionalFormatting sqref="N60:N70">
    <cfRule type="containsText" dxfId="36" priority="3" operator="containsText" text="More info needed">
      <formula>NOT(ISERROR(SEARCH("More info needed",N60)))</formula>
    </cfRule>
    <cfRule type="containsText" dxfId="35" priority="18" operator="containsText" text="FAIL">
      <formula>NOT(ISERROR(SEARCH("FAIL",N60)))</formula>
    </cfRule>
    <cfRule type="containsText" dxfId="34" priority="19" operator="containsText" text="PASS">
      <formula>NOT(ISERROR(SEARCH("PASS",N60)))</formula>
    </cfRule>
  </conditionalFormatting>
  <conditionalFormatting sqref="N104:N115">
    <cfRule type="containsText" dxfId="33" priority="16" operator="containsText" text="fail">
      <formula>NOT(ISERROR(SEARCH("fail",N104)))</formula>
    </cfRule>
    <cfRule type="containsText" dxfId="32" priority="17" operator="containsText" text="pass">
      <formula>NOT(ISERROR(SEARCH("pass",N104)))</formula>
    </cfRule>
  </conditionalFormatting>
  <dataValidations count="4">
    <dataValidation type="list" allowBlank="1" showInputMessage="1" showErrorMessage="1" sqref="E60" xr:uid="{B58CAFBE-E12C-4F99-9BF1-D6523B635A5B}">
      <formula1>"Choose from dropdown,Proposed,Existing to Remain"</formula1>
    </dataValidation>
    <dataValidation type="list" allowBlank="1" showInputMessage="1" showErrorMessage="1" sqref="E61:E70" xr:uid="{1AF70624-EDEB-41A7-BCCA-F607B484B605}">
      <formula1>"Proposed,Existing to Remain"</formula1>
    </dataValidation>
    <dataValidation type="list" allowBlank="1" showInputMessage="1" showErrorMessage="1" sqref="D34" xr:uid="{ACD199C6-091F-4627-B40B-CC7C701A10D7}">
      <formula1>"Yes,No"</formula1>
    </dataValidation>
    <dataValidation type="list" allowBlank="1" showInputMessage="1" showErrorMessage="1" sqref="D28" xr:uid="{136CA2C6-00FE-4827-924E-E09942CBD9CE}">
      <formula1>"Commercial,Residential - Go to Residential Tab"</formula1>
    </dataValidation>
  </dataValidations>
  <pageMargins left="0.7" right="0.7" top="0.75" bottom="0.75" header="0.3" footer="0.3"/>
  <pageSetup paperSize="3" orientation="landscape" r:id="rId1"/>
  <headerFooter>
    <oddHeader>&amp;CCITY OF ASPEN NON-RESIDENTIAL
 LIGHTING ORDINANCE COMPLIANCE FORM</oddHeader>
  </headerFooter>
  <drawing r:id="rId2"/>
  <tableParts count="8">
    <tablePart r:id="rId3"/>
    <tablePart r:id="rId4"/>
    <tablePart r:id="rId5"/>
    <tablePart r:id="rId6"/>
    <tablePart r:id="rId7"/>
    <tablePart r:id="rId8"/>
    <tablePart r:id="rId9"/>
    <tablePart r:id="rId10"/>
  </tableParts>
  <extLst>
    <ext xmlns:x14="http://schemas.microsoft.com/office/spreadsheetml/2009/9/main" uri="{78C0D931-6437-407d-A8EE-F0AAD7539E65}">
      <x14:conditionalFormattings>
        <x14:conditionalFormatting xmlns:xm="http://schemas.microsoft.com/office/excel/2006/main">
          <x14:cfRule type="expression" priority="26" id="{FB2F23C6-EF70-482A-A182-DD0961E33EE5}">
            <xm:f>'NonRes Parcel Fail Analysis'!$C$9&gt;4</xm:f>
            <x14:dxf>
              <fill>
                <patternFill>
                  <bgColor rgb="FFFF0000"/>
                </patternFill>
              </fill>
            </x14:dxf>
          </x14:cfRule>
          <x14:cfRule type="expression" priority="27" id="{518CE85F-E47E-4C7C-80E6-027B4CB89E80}">
            <xm:f>IF('NonRes Parcel Fail Analysis'!#REF!="Only Four Allowance Types Can Be Used,",TRUE,FAIL)</xm:f>
            <x14:dxf/>
          </x14:cfRule>
          <xm:sqref>D46:D51</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r:uid="{FF14E711-3907-4BEF-B37A-99FD36865DB3}">
          <x14:formula1>
            <xm:f>'Non-res - Ordinance Values'!$B$25:$B$31</xm:f>
          </x14:formula1>
          <xm:sqref>M61:M70 M105:M115</xm:sqref>
        </x14:dataValidation>
        <x14:dataValidation type="list" allowBlank="1" showInputMessage="1" showErrorMessage="1" xr:uid="{F5EB0698-C228-412D-99B7-E8143E2F0F6D}">
          <x14:formula1>
            <xm:f>'Non-res - Ordinance Values'!$B$24:$B$31</xm:f>
          </x14:formula1>
          <xm:sqref>M60 M104</xm:sqref>
        </x14:dataValidation>
        <x14:dataValidation type="list" allowBlank="1" showInputMessage="1" showErrorMessage="1" xr:uid="{1063FB76-F9BE-44D3-8727-0717DB003BBC}">
          <x14:formula1>
            <xm:f>'Non-res - Ordinance Values'!$B$3:$B$13</xm:f>
          </x14:formula1>
          <xm:sqref>J61:J70 J105:J115</xm:sqref>
        </x14:dataValidation>
        <x14:dataValidation type="list" allowBlank="1" showInputMessage="1" showErrorMessage="1" xr:uid="{296BE844-572D-494B-A05D-C539EC0C4C60}">
          <x14:formula1>
            <xm:f>'Non-res - Ordinance Values'!$B$2:$B$13</xm:f>
          </x14:formula1>
          <xm:sqref>J60 J104</xm:sqref>
        </x14:dataValidation>
        <x14:dataValidation type="list" allowBlank="1" showInputMessage="1" showErrorMessage="1" xr:uid="{71F1837D-88FC-4E76-8B62-7DFAC941CF3A}">
          <x14:formula1>
            <xm:f>'Non-res - Ordinance Values'!$B$15:$B$21</xm:f>
          </x14:formula1>
          <xm:sqref>D60 D104</xm:sqref>
        </x14:dataValidation>
        <x14:dataValidation type="list" allowBlank="1" showInputMessage="1" showErrorMessage="1" xr:uid="{07C3A6AC-7D57-469E-BE2C-B0698B65C1A8}">
          <x14:formula1>
            <xm:f>'Non-res - Ordinance Values'!$B$25:$B$33</xm:f>
          </x14:formula1>
          <xm:sqref>P46</xm:sqref>
        </x14:dataValidation>
        <x14:dataValidation type="list" allowBlank="1" showInputMessage="1" showErrorMessage="1" xr:uid="{A7B3BDCC-093E-4B0A-A214-8F17AC3394DF}">
          <x14:formula1>
            <xm:f>'Ref - Zone Districts'!$B$4:$B$32</xm:f>
          </x14:formula1>
          <xm:sqref>D27</xm:sqref>
        </x14:dataValidation>
        <x14:dataValidation type="list" allowBlank="1" showInputMessage="1" showErrorMessage="1" xr:uid="{96A90983-FAD4-42E8-A913-4EBCF872B335}">
          <x14:formula1>
            <xm:f>'Res - Ordinance Values'!$B$56:$B$62</xm:f>
          </x14:formula1>
          <xm:sqref>D31</xm:sqref>
        </x14:dataValidation>
        <x14:dataValidation type="list" allowBlank="1" showInputMessage="1" showErrorMessage="1" xr:uid="{9B62A604-F640-4ABD-A123-1AB904B06F1C}">
          <x14:formula1>
            <xm:f>'Non-res - Ordinance Values'!$B$16:$B$21</xm:f>
          </x14:formula1>
          <xm:sqref>D61:D70 D105:D115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D335F-8C96-46AA-902D-927C9F272863}">
  <sheetPr>
    <tabColor rgb="FFC00000"/>
  </sheetPr>
  <dimension ref="A1:V128"/>
  <sheetViews>
    <sheetView showGridLines="0" zoomScale="70" zoomScaleNormal="70" zoomScalePageLayoutView="70" workbookViewId="0">
      <selection activeCell="C100" sqref="C100"/>
    </sheetView>
  </sheetViews>
  <sheetFormatPr defaultColWidth="8.88671875" defaultRowHeight="15" x14ac:dyDescent="0.3"/>
  <cols>
    <col min="1" max="1" width="6.5546875" style="105" customWidth="1"/>
    <col min="2" max="2" width="5" style="105" customWidth="1"/>
    <col min="3" max="3" width="29.33203125" style="105" customWidth="1"/>
    <col min="4" max="4" width="29.6640625" style="105" customWidth="1"/>
    <col min="5" max="5" width="24" style="105" customWidth="1"/>
    <col min="6" max="6" width="20.21875" style="105" customWidth="1"/>
    <col min="7" max="7" width="62.109375" style="105" customWidth="1"/>
    <col min="8" max="8" width="19.5546875" style="105" customWidth="1"/>
    <col min="9" max="9" width="36.21875" style="105" customWidth="1"/>
    <col min="10" max="10" width="40.6640625" style="105" customWidth="1"/>
    <col min="11" max="11" width="28.5546875" style="105" customWidth="1"/>
    <col min="12" max="12" width="30.88671875" style="155" customWidth="1"/>
    <col min="13" max="13" width="32.88671875" style="155" customWidth="1"/>
    <col min="14" max="14" width="26.44140625" style="155" customWidth="1"/>
    <col min="15" max="15" width="64.88671875" style="105" customWidth="1"/>
    <col min="16" max="16" width="30.33203125" style="105" customWidth="1"/>
    <col min="17" max="17" width="37.6640625" style="105" customWidth="1"/>
    <col min="18" max="18" width="67.88671875" style="105" customWidth="1"/>
    <col min="19" max="19" width="8.44140625" style="105" bestFit="1" customWidth="1"/>
    <col min="20" max="16384" width="8.88671875" style="105"/>
  </cols>
  <sheetData>
    <row r="1" spans="2:19" ht="32.549999999999997" customHeight="1" thickBot="1" x14ac:dyDescent="0.35"/>
    <row r="2" spans="2:19" ht="14.55" customHeight="1" x14ac:dyDescent="0.25">
      <c r="B2" s="580" t="s">
        <v>412</v>
      </c>
      <c r="C2" s="565"/>
      <c r="D2" s="565"/>
      <c r="E2" s="565"/>
      <c r="F2" s="565"/>
      <c r="G2" s="565"/>
      <c r="H2" s="581"/>
      <c r="I2" s="137"/>
    </row>
    <row r="3" spans="2:19" ht="15.6" x14ac:dyDescent="0.3">
      <c r="B3" s="582"/>
      <c r="C3" s="566"/>
      <c r="D3" s="566"/>
      <c r="E3" s="566"/>
      <c r="F3" s="566"/>
      <c r="G3" s="566"/>
      <c r="H3" s="583"/>
      <c r="I3" s="163"/>
    </row>
    <row r="4" spans="2:19" ht="15.6" x14ac:dyDescent="0.3">
      <c r="B4" s="582"/>
      <c r="C4" s="566"/>
      <c r="D4" s="566"/>
      <c r="E4" s="566"/>
      <c r="F4" s="566"/>
      <c r="G4" s="566"/>
      <c r="H4" s="583"/>
      <c r="I4" s="163"/>
      <c r="J4" s="163"/>
    </row>
    <row r="5" spans="2:19" ht="49.95" customHeight="1" thickBot="1" x14ac:dyDescent="0.35">
      <c r="B5" s="584"/>
      <c r="C5" s="567"/>
      <c r="D5" s="567"/>
      <c r="E5" s="567"/>
      <c r="F5" s="567"/>
      <c r="G5" s="567"/>
      <c r="H5" s="585"/>
      <c r="I5" s="163"/>
      <c r="J5" s="163"/>
      <c r="M5" s="164"/>
      <c r="N5" s="164"/>
      <c r="O5" s="164"/>
      <c r="P5" s="164"/>
      <c r="Q5" s="164"/>
      <c r="R5" s="164"/>
      <c r="S5" s="164"/>
    </row>
    <row r="6" spans="2:19" ht="48.75" customHeight="1" thickBot="1" x14ac:dyDescent="0.35">
      <c r="B6" s="130" t="str">
        <f>'Res Compliance Calculator'!B6</f>
        <v>Version 2.1 (08/19/2025)</v>
      </c>
      <c r="C6" s="163"/>
      <c r="D6" s="163"/>
      <c r="E6" s="163"/>
      <c r="F6" s="163"/>
      <c r="G6" s="137"/>
      <c r="H6" s="163"/>
      <c r="I6" s="163"/>
      <c r="J6" s="163"/>
      <c r="K6" s="165"/>
      <c r="L6" s="165"/>
      <c r="M6" s="165"/>
      <c r="N6" s="165"/>
      <c r="O6" s="165"/>
      <c r="P6" s="165"/>
      <c r="Q6" s="165"/>
      <c r="R6" s="166"/>
      <c r="S6" s="164"/>
    </row>
    <row r="7" spans="2:19" ht="24" customHeight="1" x14ac:dyDescent="0.3">
      <c r="B7" s="541" t="s">
        <v>84</v>
      </c>
      <c r="C7" s="542"/>
      <c r="D7" s="542"/>
      <c r="E7" s="586"/>
      <c r="F7" s="586"/>
      <c r="G7" s="586"/>
      <c r="H7" s="586"/>
      <c r="I7" s="586"/>
      <c r="J7" s="587"/>
      <c r="K7" s="165"/>
      <c r="L7" s="165"/>
      <c r="M7" s="165"/>
      <c r="N7" s="165"/>
      <c r="O7" s="165"/>
      <c r="P7" s="165"/>
      <c r="Q7" s="165"/>
      <c r="R7" s="166"/>
      <c r="S7" s="164"/>
    </row>
    <row r="8" spans="2:19" ht="24" customHeight="1" x14ac:dyDescent="0.3">
      <c r="B8" s="545" t="s">
        <v>85</v>
      </c>
      <c r="C8" s="546"/>
      <c r="D8" s="546"/>
      <c r="E8" s="588"/>
      <c r="F8" s="588"/>
      <c r="G8" s="588"/>
      <c r="H8" s="588"/>
      <c r="I8" s="588"/>
      <c r="J8" s="589"/>
      <c r="K8" s="165"/>
      <c r="L8" s="165"/>
      <c r="M8" s="165"/>
      <c r="N8" s="165"/>
      <c r="O8" s="165"/>
      <c r="P8" s="165"/>
      <c r="Q8" s="165"/>
      <c r="R8" s="166"/>
      <c r="S8" s="164"/>
    </row>
    <row r="9" spans="2:19" ht="24" customHeight="1" x14ac:dyDescent="0.3">
      <c r="B9" s="545" t="s">
        <v>86</v>
      </c>
      <c r="C9" s="546"/>
      <c r="D9" s="546"/>
      <c r="E9" s="590"/>
      <c r="F9" s="590"/>
      <c r="G9" s="590"/>
      <c r="H9" s="590"/>
      <c r="I9" s="590"/>
      <c r="J9" s="591"/>
      <c r="K9" s="165"/>
      <c r="L9" s="165"/>
      <c r="M9" s="165"/>
      <c r="N9" s="165"/>
      <c r="O9" s="165"/>
      <c r="P9" s="165"/>
      <c r="Q9" s="165"/>
      <c r="R9" s="166"/>
      <c r="S9" s="164"/>
    </row>
    <row r="10" spans="2:19" ht="24" customHeight="1" x14ac:dyDescent="0.3">
      <c r="B10" s="545" t="s">
        <v>106</v>
      </c>
      <c r="C10" s="546"/>
      <c r="D10" s="546"/>
      <c r="E10" s="590"/>
      <c r="F10" s="590"/>
      <c r="G10" s="590"/>
      <c r="H10" s="590"/>
      <c r="I10" s="590"/>
      <c r="J10" s="591"/>
      <c r="K10" s="165"/>
      <c r="L10" s="165"/>
      <c r="M10" s="165"/>
      <c r="N10" s="165"/>
      <c r="O10" s="165"/>
      <c r="P10" s="165"/>
      <c r="Q10" s="165"/>
      <c r="R10" s="166"/>
      <c r="S10" s="164"/>
    </row>
    <row r="11" spans="2:19" ht="24" customHeight="1" thickBot="1" x14ac:dyDescent="0.35">
      <c r="B11" s="553" t="s">
        <v>329</v>
      </c>
      <c r="C11" s="554"/>
      <c r="D11" s="554"/>
      <c r="E11" s="592"/>
      <c r="F11" s="490"/>
      <c r="G11" s="490"/>
      <c r="H11" s="490"/>
      <c r="I11" s="490"/>
      <c r="J11" s="556"/>
      <c r="K11" s="165"/>
      <c r="L11" s="165"/>
      <c r="M11" s="165"/>
      <c r="N11" s="165"/>
      <c r="O11" s="165"/>
      <c r="P11" s="165"/>
      <c r="Q11" s="165"/>
      <c r="R11" s="166"/>
      <c r="S11" s="164"/>
    </row>
    <row r="12" spans="2:19" ht="15.6" x14ac:dyDescent="0.3">
      <c r="B12" s="130"/>
      <c r="C12" s="25"/>
      <c r="D12" s="130"/>
      <c r="E12" s="25"/>
      <c r="F12" s="134"/>
      <c r="G12" s="25"/>
      <c r="H12" s="25"/>
      <c r="I12" s="25"/>
      <c r="J12" s="25"/>
      <c r="K12" s="165"/>
      <c r="L12" s="165"/>
      <c r="M12" s="165"/>
      <c r="N12" s="165"/>
      <c r="O12" s="165"/>
      <c r="P12" s="165"/>
      <c r="Q12" s="165"/>
      <c r="R12" s="166"/>
      <c r="S12" s="164"/>
    </row>
    <row r="13" spans="2:19" ht="15.6" x14ac:dyDescent="0.3">
      <c r="B13" s="167" t="s">
        <v>208</v>
      </c>
      <c r="C13" s="25"/>
      <c r="D13" s="130"/>
      <c r="E13" s="25"/>
      <c r="F13" s="134"/>
      <c r="G13" s="25"/>
      <c r="H13" s="25"/>
      <c r="I13" s="25"/>
      <c r="J13" s="25"/>
      <c r="K13" s="165"/>
      <c r="L13" s="165"/>
      <c r="M13" s="165"/>
      <c r="N13" s="165"/>
      <c r="O13" s="165"/>
      <c r="P13" s="165"/>
      <c r="Q13" s="165"/>
      <c r="R13" s="166"/>
      <c r="S13" s="164"/>
    </row>
    <row r="14" spans="2:19" ht="15.6" x14ac:dyDescent="0.3">
      <c r="B14" s="167" t="str">
        <f>'Res Compliance Calculator'!B14</f>
        <v xml:space="preserve">This tool is generally not required when replacing an existing fixture with a fully shielded fixture. </v>
      </c>
      <c r="C14" s="25"/>
      <c r="D14" s="130"/>
      <c r="E14" s="25"/>
      <c r="F14" s="134"/>
      <c r="G14" s="25"/>
      <c r="H14" s="25"/>
      <c r="I14" s="25"/>
      <c r="J14" s="25"/>
      <c r="K14" s="165"/>
      <c r="L14" s="165"/>
      <c r="M14" s="165"/>
      <c r="N14" s="165"/>
      <c r="O14" s="165"/>
      <c r="P14" s="165"/>
      <c r="Q14" s="165"/>
      <c r="R14" s="166"/>
      <c r="S14" s="164"/>
    </row>
    <row r="15" spans="2:19" ht="30" customHeight="1" x14ac:dyDescent="0.3">
      <c r="B15" s="130" t="str">
        <f>'Res Compliance Calculator'!B15</f>
        <v xml:space="preserve">All regulations are laid out in 26.512 - Outdoor Lighting. </v>
      </c>
      <c r="C15" s="25"/>
      <c r="D15" s="130"/>
      <c r="E15" s="25"/>
      <c r="F15" s="134"/>
      <c r="G15" s="25"/>
      <c r="H15" s="25"/>
      <c r="I15" s="25"/>
      <c r="J15" s="25"/>
      <c r="K15" s="165"/>
      <c r="L15" s="165"/>
      <c r="M15" s="165"/>
      <c r="N15" s="165"/>
      <c r="O15" s="165"/>
      <c r="P15" s="165"/>
      <c r="Q15" s="165"/>
      <c r="R15" s="166"/>
      <c r="S15" s="164"/>
    </row>
    <row r="16" spans="2:19" ht="25.95" customHeight="1" x14ac:dyDescent="0.3">
      <c r="B16" s="130">
        <v>1</v>
      </c>
      <c r="C16" s="134" t="str">
        <f>'Res Compliance Calculator'!C16</f>
        <v>Fill out Tables 1a and 1b</v>
      </c>
      <c r="D16" s="130"/>
      <c r="E16" s="25"/>
      <c r="F16" s="25"/>
      <c r="G16" s="25"/>
      <c r="H16" s="25"/>
      <c r="I16" s="25"/>
      <c r="J16" s="25"/>
      <c r="K16" s="165"/>
      <c r="L16" s="165"/>
      <c r="M16" s="165"/>
      <c r="N16" s="165"/>
      <c r="O16" s="165"/>
      <c r="P16" s="165"/>
      <c r="Q16" s="165"/>
      <c r="R16" s="166"/>
      <c r="S16" s="164"/>
    </row>
    <row r="17" spans="1:19" ht="20.55" customHeight="1" x14ac:dyDescent="0.3">
      <c r="B17" s="130">
        <v>2</v>
      </c>
      <c r="C17" s="134" t="str">
        <f>'Res Compliance Calculator'!C17</f>
        <v>Fill out proposed project information - Tables 2a-c. This should include all fixtures that will be on the parcel at final inspection. Include any fixtures that are to remain as well as any new/replaced fixtures.</v>
      </c>
      <c r="D17" s="130"/>
      <c r="E17" s="25"/>
      <c r="F17" s="25"/>
      <c r="G17" s="25"/>
      <c r="H17" s="25"/>
      <c r="I17" s="25"/>
      <c r="J17" s="25"/>
      <c r="K17" s="165"/>
      <c r="L17" s="165"/>
      <c r="M17" s="165"/>
      <c r="N17" s="165"/>
      <c r="O17" s="165"/>
      <c r="P17" s="165"/>
      <c r="Q17" s="165"/>
      <c r="R17" s="166"/>
      <c r="S17" s="164"/>
    </row>
    <row r="18" spans="1:19" ht="22.5" customHeight="1" x14ac:dyDescent="0.3">
      <c r="B18" s="130"/>
      <c r="C18" s="334" t="str">
        <f>'Res Compliance Calculator'!C18</f>
        <v>If the scope does not trigger the entire property into compliance and the proposed project does not comply, fill out Tables 3a-3c. Please note that all parcels within City limits must comply by December 15, 2028.</v>
      </c>
      <c r="D18" s="130"/>
      <c r="E18" s="25"/>
      <c r="F18" s="25"/>
      <c r="G18" s="25"/>
      <c r="H18" s="25"/>
      <c r="I18" s="25"/>
      <c r="J18" s="25"/>
      <c r="K18" s="165"/>
      <c r="L18" s="165"/>
      <c r="M18" s="165"/>
      <c r="N18" s="165"/>
      <c r="O18" s="165"/>
      <c r="P18" s="165"/>
      <c r="Q18" s="165"/>
      <c r="R18" s="166"/>
      <c r="S18" s="164"/>
    </row>
    <row r="19" spans="1:19" ht="47.55" customHeight="1" x14ac:dyDescent="0.25">
      <c r="B19" s="333">
        <v>3</v>
      </c>
      <c r="C19" s="593" t="str">
        <f>'Res Compliance Calculator'!C19</f>
        <v>Note: if the scope does not trigger the entire property into compliance, only new and replaced fixtures need to comply with the adopted regulations. If the proposal decreases the non-conformity but does not eliminate it, Table 4: Existing Site Analysis, must be filled out. Non-conformities cannot be increased - the proposed lumens on the site must decrease (or conform), the percentage of unshielded/partially shielded fixtures must decrease (or conform), and any new or replaced fixtures must conform with shielding requirements.</v>
      </c>
      <c r="D19" s="593"/>
      <c r="E19" s="593"/>
      <c r="F19" s="593"/>
      <c r="G19" s="593"/>
      <c r="H19" s="593"/>
      <c r="I19" s="593"/>
      <c r="J19" s="162"/>
      <c r="K19" s="165"/>
      <c r="L19" s="165"/>
      <c r="M19" s="165"/>
      <c r="N19" s="165"/>
      <c r="O19" s="165"/>
      <c r="P19" s="165"/>
      <c r="Q19" s="165"/>
      <c r="R19" s="166"/>
      <c r="S19" s="164"/>
    </row>
    <row r="20" spans="1:19" ht="4.95" customHeight="1" x14ac:dyDescent="0.3">
      <c r="B20" s="130"/>
      <c r="C20" s="1"/>
      <c r="D20" s="1"/>
      <c r="E20" s="1"/>
      <c r="F20" s="1"/>
      <c r="G20" s="1"/>
      <c r="H20" s="1"/>
      <c r="I20" s="162"/>
      <c r="J20" s="162"/>
      <c r="K20" s="165"/>
      <c r="L20" s="165"/>
      <c r="M20" s="165"/>
      <c r="N20" s="165"/>
      <c r="O20" s="165"/>
      <c r="P20" s="165"/>
      <c r="Q20" s="165"/>
      <c r="R20" s="166"/>
      <c r="S20" s="164"/>
    </row>
    <row r="21" spans="1:19" ht="15.6" x14ac:dyDescent="0.3">
      <c r="B21" s="130">
        <v>4</v>
      </c>
      <c r="C21" s="137" t="str">
        <f>'Res Compliance Calculator'!C21</f>
        <v>Submit this calculator in excel format as part of the permit submission.</v>
      </c>
      <c r="D21" s="130"/>
      <c r="E21" s="25"/>
      <c r="F21" s="25"/>
      <c r="G21" s="25"/>
      <c r="H21" s="25"/>
      <c r="I21" s="25"/>
      <c r="J21" s="25"/>
      <c r="K21" s="165"/>
      <c r="L21" s="165"/>
      <c r="M21" s="165"/>
      <c r="N21" s="165"/>
      <c r="O21" s="165"/>
      <c r="P21" s="165"/>
      <c r="Q21" s="165"/>
      <c r="R21" s="166"/>
      <c r="S21" s="164"/>
    </row>
    <row r="22" spans="1:19" ht="77.55" customHeight="1" thickBot="1" x14ac:dyDescent="0.35">
      <c r="A22" s="331"/>
      <c r="B22" s="578" t="s">
        <v>332</v>
      </c>
      <c r="C22" s="579"/>
      <c r="D22" s="579"/>
      <c r="E22" s="579"/>
      <c r="F22" s="579"/>
      <c r="G22" s="579"/>
      <c r="H22" s="579"/>
      <c r="I22" s="331"/>
      <c r="J22" s="331"/>
      <c r="K22" s="331"/>
      <c r="L22" s="331"/>
      <c r="M22" s="331"/>
      <c r="N22" s="331"/>
      <c r="O22" s="331"/>
      <c r="P22" s="331"/>
      <c r="Q22" s="331"/>
      <c r="R22" s="331"/>
      <c r="S22" s="331"/>
    </row>
    <row r="23" spans="1:19" ht="34.049999999999997" customHeight="1" thickTop="1" thickBot="1" x14ac:dyDescent="0.35">
      <c r="B23" s="562" t="s">
        <v>320</v>
      </c>
      <c r="C23" s="562"/>
      <c r="L23" s="105"/>
      <c r="O23" s="155"/>
      <c r="P23" s="155"/>
      <c r="R23" s="166"/>
      <c r="S23" s="164"/>
    </row>
    <row r="24" spans="1:19" ht="33.75" customHeight="1" x14ac:dyDescent="0.3">
      <c r="C24" s="169" t="s">
        <v>124</v>
      </c>
      <c r="D24" s="170" t="s">
        <v>123</v>
      </c>
      <c r="E24" s="171" t="s">
        <v>69</v>
      </c>
      <c r="G24" s="172" t="s">
        <v>82</v>
      </c>
      <c r="H24" s="173"/>
      <c r="I24" s="174"/>
      <c r="J24" s="175"/>
      <c r="K24" s="176"/>
      <c r="L24" s="176"/>
      <c r="M24" s="176"/>
      <c r="N24" s="176"/>
      <c r="O24" s="155"/>
      <c r="P24" s="155"/>
    </row>
    <row r="25" spans="1:19" ht="46.2" customHeight="1" x14ac:dyDescent="0.25">
      <c r="C25" s="249" t="s">
        <v>1</v>
      </c>
      <c r="D25" s="106" t="s">
        <v>35</v>
      </c>
      <c r="E25" s="244"/>
      <c r="G25" s="149"/>
      <c r="H25" s="444" t="s">
        <v>160</v>
      </c>
      <c r="I25" s="450"/>
      <c r="J25" s="451"/>
      <c r="K25" s="176"/>
      <c r="L25" s="176"/>
      <c r="M25" s="176"/>
      <c r="N25" s="176"/>
      <c r="O25" s="155"/>
      <c r="P25" s="155"/>
    </row>
    <row r="26" spans="1:19" ht="46.2" customHeight="1" x14ac:dyDescent="0.3">
      <c r="B26" s="155"/>
      <c r="C26" s="248" t="s">
        <v>97</v>
      </c>
      <c r="D26" s="106" t="s">
        <v>53</v>
      </c>
      <c r="E26" s="244"/>
      <c r="G26" s="177"/>
      <c r="H26" s="447" t="s">
        <v>161</v>
      </c>
      <c r="I26" s="447"/>
      <c r="J26" s="571"/>
      <c r="K26" s="176"/>
      <c r="L26" s="176"/>
      <c r="M26" s="176"/>
      <c r="N26" s="176"/>
      <c r="O26" s="155"/>
      <c r="P26" s="155"/>
    </row>
    <row r="27" spans="1:19" ht="46.2" customHeight="1" x14ac:dyDescent="0.3">
      <c r="B27" s="155"/>
      <c r="C27" s="249" t="s">
        <v>2</v>
      </c>
      <c r="D27" s="253" t="str">
        <f>VLOOKUP(D25,'Ref - Zone Districts'!B2:D30,2,FALSE)</f>
        <v>LZ2</v>
      </c>
      <c r="E27" s="244"/>
      <c r="G27" s="178"/>
      <c r="H27" s="444" t="s">
        <v>83</v>
      </c>
      <c r="I27" s="450"/>
      <c r="J27" s="451"/>
      <c r="K27" s="176"/>
      <c r="L27" s="176"/>
      <c r="M27" s="176"/>
      <c r="N27" s="176"/>
      <c r="O27" s="155"/>
      <c r="P27" s="155"/>
    </row>
    <row r="28" spans="1:19" ht="46.2" customHeight="1" x14ac:dyDescent="0.25">
      <c r="B28" s="155"/>
      <c r="C28" s="241" t="s">
        <v>192</v>
      </c>
      <c r="D28" s="254">
        <f>VLOOKUP(D27,'Res - Ordinance Values'!B1:C5,2,FALSE)</f>
        <v>0.3</v>
      </c>
      <c r="E28" s="244" t="s">
        <v>89</v>
      </c>
      <c r="G28" s="152"/>
      <c r="H28" s="444" t="s">
        <v>91</v>
      </c>
      <c r="I28" s="450"/>
      <c r="J28" s="451"/>
      <c r="L28" s="105"/>
      <c r="M28" s="105"/>
      <c r="N28" s="105"/>
      <c r="O28" s="155"/>
      <c r="P28" s="155"/>
    </row>
    <row r="29" spans="1:19" ht="46.2" customHeight="1" x14ac:dyDescent="0.25">
      <c r="B29" s="155"/>
      <c r="C29" s="241" t="s">
        <v>167</v>
      </c>
      <c r="D29" s="198"/>
      <c r="E29" s="244"/>
      <c r="G29" s="153"/>
      <c r="H29" s="444" t="s">
        <v>92</v>
      </c>
      <c r="I29" s="450"/>
      <c r="J29" s="451"/>
      <c r="L29" s="105"/>
      <c r="M29" s="105"/>
      <c r="N29" s="105"/>
      <c r="O29" s="155"/>
      <c r="P29" s="155"/>
    </row>
    <row r="30" spans="1:19" ht="46.2" customHeight="1" thickBot="1" x14ac:dyDescent="0.35">
      <c r="B30" s="155"/>
      <c r="C30" s="241" t="s">
        <v>172</v>
      </c>
      <c r="D30" s="254" t="str">
        <f>IF(OR(D29='Non-res - Ordinance Values'!B58,AND(D29='Res - Ordinance Values'!B57,(SUMIF(Project_Info_Comm[Proposed/Existing?],"Proposed",Project_Info_Comm[Total Lumens])/('NonRes Compliance Calculator'!D72)&lt;0.4))),"No","Yes")</f>
        <v>No</v>
      </c>
      <c r="E30" s="244"/>
      <c r="G30" s="154" t="s">
        <v>179</v>
      </c>
      <c r="H30" s="452" t="s">
        <v>180</v>
      </c>
      <c r="I30" s="452"/>
      <c r="J30" s="453"/>
      <c r="L30" s="105"/>
      <c r="M30" s="105"/>
      <c r="N30" s="105"/>
    </row>
    <row r="31" spans="1:19" ht="46.2" customHeight="1" thickBot="1" x14ac:dyDescent="0.3">
      <c r="B31" s="155"/>
      <c r="C31" s="249" t="s">
        <v>95</v>
      </c>
      <c r="D31" s="255" t="s">
        <v>96</v>
      </c>
      <c r="E31" s="244" t="s">
        <v>90</v>
      </c>
      <c r="K31" s="25"/>
      <c r="L31" s="25"/>
      <c r="M31" s="25"/>
      <c r="N31" s="25"/>
      <c r="O31" s="25"/>
    </row>
    <row r="32" spans="1:19" ht="86.25" customHeight="1" x14ac:dyDescent="0.25">
      <c r="B32" s="155"/>
      <c r="C32" s="241" t="s">
        <v>193</v>
      </c>
      <c r="D32" s="106"/>
      <c r="E32" s="244"/>
      <c r="G32" s="558" t="s">
        <v>88</v>
      </c>
      <c r="H32" s="561" t="str">
        <f>IF('NonRes Parcel Fail Analysis'!F3&gt;0,"FAIL",IF(COUNTIFS(Project_Info_Comm[PASS/FAIL/EXISTING TO REMAIN],"=Existing to Remain",Project_Info_Comm[Errors],"&lt;&gt;.")&gt;0,"TEMP PASS","PASS"))</f>
        <v>PASS</v>
      </c>
      <c r="I32" s="565" t="s">
        <v>105</v>
      </c>
      <c r="J32" s="568" t="str">
        <f>IF(H32="PASS"," ",_xlfn.TEXTJOIN(" ",TRUE,'NonRes Parcel Fail Analysis'!B3,'NonRes Parcel Fail Analysis'!B4,'NonRes Parcel Fail Analysis'!B5,'NonRes Parcel Fail Analysis'!B6,'NonRes Parcel Fail Analysis'!B7,'NonRes Parcel Fail Analysis'!B8,'NonRes Parcel Fail Analysis'!B9,'NonRes Parcel Fail Analysis'!B10,'NonRes Parcel Fail Analysis'!B11))&amp;(IF(H32="TEMP PASS","Please check warning (right)",""))&amp;"."</f>
        <v xml:space="preserve"> .</v>
      </c>
      <c r="K32" s="438" t="str">
        <f>IF(H32="TEMP PASS","City of Aspen Land Use Code requires all fixtures, including existing or current, to comply with this new lighting code by November 2028. Your current lighting plan leaves fixtures remaining that will be illegal on this date.","")</f>
        <v/>
      </c>
      <c r="L32" s="439"/>
      <c r="M32" s="439"/>
      <c r="N32" s="439"/>
      <c r="O32" s="25"/>
    </row>
    <row r="33" spans="1:20" ht="1.2" customHeight="1" thickBot="1" x14ac:dyDescent="0.35">
      <c r="B33" s="155"/>
      <c r="C33" s="245"/>
      <c r="D33" s="179"/>
      <c r="E33" s="246"/>
      <c r="G33" s="559"/>
      <c r="H33" s="562"/>
      <c r="I33" s="566"/>
      <c r="J33" s="569"/>
      <c r="K33" s="438"/>
      <c r="L33" s="439"/>
      <c r="M33" s="439"/>
      <c r="N33" s="439"/>
      <c r="O33" s="155"/>
    </row>
    <row r="34" spans="1:20" ht="2.5499999999999998" hidden="1" customHeight="1" thickBot="1" x14ac:dyDescent="0.3">
      <c r="B34" s="155"/>
      <c r="C34" s="245"/>
      <c r="D34" s="180"/>
      <c r="E34" s="246"/>
      <c r="G34" s="559"/>
      <c r="H34" s="563"/>
      <c r="I34" s="566"/>
      <c r="J34" s="569"/>
      <c r="K34" s="438"/>
      <c r="L34" s="439"/>
      <c r="M34" s="439"/>
      <c r="N34" s="439"/>
      <c r="O34" s="25"/>
    </row>
    <row r="35" spans="1:20" ht="1.5" hidden="1" customHeight="1" thickBot="1" x14ac:dyDescent="0.3">
      <c r="B35" s="155"/>
      <c r="C35" s="247"/>
      <c r="D35" s="181"/>
      <c r="E35" s="246"/>
      <c r="G35" s="560"/>
      <c r="H35" s="564"/>
      <c r="I35" s="567"/>
      <c r="J35" s="570"/>
      <c r="K35" s="438"/>
      <c r="L35" s="439"/>
      <c r="M35" s="439"/>
      <c r="N35" s="439"/>
      <c r="O35" s="25"/>
    </row>
    <row r="36" spans="1:20" ht="81" customHeight="1" thickBot="1" x14ac:dyDescent="0.35">
      <c r="B36" s="155"/>
      <c r="C36" s="241" t="s">
        <v>159</v>
      </c>
      <c r="D36" s="106">
        <v>0.1</v>
      </c>
      <c r="E36" s="244" t="s">
        <v>89</v>
      </c>
      <c r="G36" s="575" t="s">
        <v>197</v>
      </c>
      <c r="H36" s="576"/>
      <c r="I36" s="576"/>
      <c r="J36" s="577"/>
      <c r="K36" s="438"/>
      <c r="L36" s="439"/>
      <c r="M36" s="439"/>
      <c r="N36" s="439"/>
      <c r="O36" s="155"/>
    </row>
    <row r="37" spans="1:20" ht="183" customHeight="1" x14ac:dyDescent="0.3">
      <c r="B37" s="155"/>
      <c r="C37" s="302" t="s">
        <v>191</v>
      </c>
      <c r="D37" s="252"/>
      <c r="E37" s="303"/>
      <c r="G37" s="183"/>
      <c r="I37" s="105" t="s">
        <v>347</v>
      </c>
      <c r="L37" s="105"/>
    </row>
    <row r="38" spans="1:20" ht="64.05" customHeight="1" thickBot="1" x14ac:dyDescent="0.35">
      <c r="A38" s="331"/>
      <c r="B38" s="331"/>
      <c r="C38" s="331"/>
      <c r="D38" s="331"/>
      <c r="E38" s="331"/>
      <c r="F38" s="331"/>
      <c r="G38" s="331"/>
      <c r="H38" s="331"/>
      <c r="I38" s="331"/>
      <c r="J38" s="331"/>
      <c r="K38" s="331"/>
      <c r="L38" s="331"/>
      <c r="M38" s="331"/>
      <c r="N38" s="331"/>
      <c r="O38" s="331"/>
      <c r="P38" s="331"/>
      <c r="Q38" s="331"/>
      <c r="R38" s="331"/>
      <c r="S38" s="331"/>
    </row>
    <row r="39" spans="1:20" ht="31.95" customHeight="1" thickTop="1" x14ac:dyDescent="0.3">
      <c r="B39" s="332" t="s">
        <v>321</v>
      </c>
      <c r="K39" s="165"/>
      <c r="L39" s="105"/>
      <c r="M39" s="105"/>
      <c r="N39" s="105"/>
      <c r="O39" s="165"/>
      <c r="P39" s="165"/>
      <c r="Q39" s="165"/>
      <c r="R39" s="184"/>
      <c r="S39" s="184"/>
    </row>
    <row r="40" spans="1:20" ht="33" customHeight="1" x14ac:dyDescent="0.3">
      <c r="C40" s="168" t="s">
        <v>212</v>
      </c>
      <c r="K40" s="165"/>
      <c r="L40" s="165"/>
      <c r="M40" s="165"/>
      <c r="N40" s="165"/>
      <c r="O40" s="165"/>
      <c r="P40" s="165"/>
      <c r="Q40" s="165"/>
      <c r="R40" s="184"/>
      <c r="S40" s="184"/>
    </row>
    <row r="41" spans="1:20" ht="7.05" customHeight="1" x14ac:dyDescent="0.3">
      <c r="K41" s="165"/>
      <c r="L41" s="165"/>
      <c r="M41" s="165"/>
      <c r="N41" s="165"/>
      <c r="O41" s="165"/>
      <c r="P41" s="165"/>
      <c r="Q41" s="165"/>
      <c r="R41" s="184"/>
      <c r="S41" s="184"/>
    </row>
    <row r="42" spans="1:20" ht="30" x14ac:dyDescent="0.3">
      <c r="C42" s="176" t="s">
        <v>211</v>
      </c>
      <c r="D42" s="176" t="s">
        <v>215</v>
      </c>
      <c r="E42" s="176" t="s">
        <v>69</v>
      </c>
      <c r="F42" s="176" t="s">
        <v>214</v>
      </c>
      <c r="G42" s="176" t="s">
        <v>234</v>
      </c>
      <c r="L42" s="165"/>
      <c r="M42" s="165"/>
      <c r="N42" s="165"/>
      <c r="O42" s="165"/>
      <c r="P42" s="165"/>
      <c r="Q42" s="165"/>
      <c r="R42" s="165"/>
      <c r="S42" s="184"/>
      <c r="T42" s="184"/>
    </row>
    <row r="43" spans="1:20" ht="30" x14ac:dyDescent="0.3">
      <c r="B43" s="155"/>
      <c r="C43" s="243" t="str">
        <f>'Non-res - Ordinance Values'!$B$25</f>
        <v>Building Entrance(s)</v>
      </c>
      <c r="D43" s="107">
        <v>0</v>
      </c>
      <c r="E43" s="243" t="str">
        <f>'Non-res - Ordinance Values'!C25</f>
        <v>each</v>
      </c>
      <c r="F43" s="243" cm="1">
        <f t="array" ref="F43">Allowance_Selection[[#This Row],[Number of Type]]*VLOOKUP(Allowance_Selection[[#This Row],[Allowance Type]],'Non-res - Ordinance Values'!$B$24:$G$30,_xlfn.IFS(D$27="LZ0",3,D$27="LZ1",4,D$27="LZ2",5,D$27="LZ3",6),FALSE)</f>
        <v>0</v>
      </c>
      <c r="G43" s="243" t="s">
        <v>233</v>
      </c>
      <c r="O43" s="155"/>
      <c r="P43" s="155"/>
      <c r="Q43" s="168" t="str" cm="1">
        <f t="array" ref="Q43">IF(F67=0,"",_xlfn.IFNA(_xlfn.IFS(G67="","FAIL",I67="","FAIL",J67="","FAIL",L43="","FAIL",P43="","FAIL",AND(D67='Non-res - Ordinance Values'!B$19,N43=""),"FAIL",F67/#REF!&lt;45,"FAIL",I67&gt;3000,"FAIL",I67&lt;2200,"FAIL",AND(D67='Non-res - Ordinance Values'!$B$19,N43&gt;0),"FAIL",AND(OR(J67='Non-res - Ordinance Values'!$B$3:$B$5),VLOOKUP(J67,'Non-res - Ordinance Values'!B$2:D$8,IF(COUNTIF(#REF!,"*Residential")&gt;0,2,3),FALSE)&lt;L43),"FAIL",$F67&gt;VLOOKUP($D67,'Non-res - Ordinance Values'!$B$15:$F$19,_xlfn.IFS(#REF!="LZ1",3,#REF!="LZ2",4),FALSE),"FAIL"),"PASS"))</f>
        <v/>
      </c>
      <c r="R43" s="168" t="str" cm="1">
        <f t="array" ref="R43">IF(F67=0,"",_xlfn.IFNA(_xlfn.IFS(G67="","Missing entries",I67="","Missing entries",J67="","Missing entries",L43="","Missing entries",P43="","Missing entries",AND(D67='Non-res - Ordinance Values'!B$19,N43=""),"Missing entries",F67/#REF!&lt;45,"Poor efficacy",I67&gt;3000,"CCT is too high",I67&lt;2200,"CCT is too low",AND(D67='Non-res - Ordinance Values'!$B$19,N43&gt;0),"Uplight must be zero",AND(OR(J67='Non-res - Ordinance Values'!$B$3:$B$5),VLOOKUP(J67,'Non-res - Ordinance Values'!B$2:D$8,IF(COUNTIF(#REF!,"*Residential")&gt;0,2,3),FALSE)&lt;L43),"Mounting Height is too high",$F67&gt;VLOOKUP($D67,'Non-res - Ordinance Values'!$B$15:$F$19,_xlfn.IFS(#REF!="LZ1",3,#REF!="LZ2",4),FALSE),"Lumens exceed limit"),""))</f>
        <v/>
      </c>
    </row>
    <row r="44" spans="1:20" ht="109.5" customHeight="1" x14ac:dyDescent="0.3">
      <c r="B44" s="155"/>
      <c r="C44" s="243" t="str">
        <f>'Non-res - Ordinance Values'!$B$26</f>
        <v>Building Facade</v>
      </c>
      <c r="D44" s="107">
        <v>0</v>
      </c>
      <c r="E44" s="243" t="str">
        <f>'Non-res - Ordinance Values'!C26</f>
        <v>square feet of illuminated façade</v>
      </c>
      <c r="F44" s="243" cm="1">
        <f t="array" ref="F44">Allowance_Selection[[#This Row],[Number of Type]]*VLOOKUP(Allowance_Selection[[#This Row],[Allowance Type]],'Non-res - Ordinance Values'!$B$24:$G$30,_xlfn.IFS(D$27="LZ0",3,D$27="LZ1",4,D$27="LZ2",5,D$27="LZ3",6),FALSE)</f>
        <v>0</v>
      </c>
      <c r="G44" s="243" t="s">
        <v>240</v>
      </c>
      <c r="L44" s="105"/>
      <c r="O44" s="184"/>
    </row>
    <row r="45" spans="1:20" ht="28.95" customHeight="1" x14ac:dyDescent="0.3">
      <c r="B45" s="155"/>
      <c r="C45" s="243" t="str">
        <f>'Non-res - Ordinance Values'!B$27</f>
        <v>Nighttime Service Loading</v>
      </c>
      <c r="D45" s="107">
        <v>0</v>
      </c>
      <c r="E45" s="243" t="str">
        <f>'Non-res - Ordinance Values'!C27</f>
        <v>each</v>
      </c>
      <c r="F45" s="243" cm="1">
        <f t="array" ref="F45">Allowance_Selection[[#This Row],[Number of Type]]*VLOOKUP(Allowance_Selection[[#This Row],[Allowance Type]],'Non-res - Ordinance Values'!$B$24:$G$30,_xlfn.IFS(D$27="LZ0",3,D$27="LZ1",4,D$27="LZ2",5,D$27="LZ3",6),FALSE)</f>
        <v>0</v>
      </c>
      <c r="G45" s="243" t="s">
        <v>235</v>
      </c>
      <c r="L45" s="105"/>
      <c r="M45" s="184"/>
      <c r="N45" s="184"/>
      <c r="P45" s="184"/>
      <c r="Q45" s="184"/>
      <c r="R45" s="184"/>
    </row>
    <row r="46" spans="1:20" ht="45" x14ac:dyDescent="0.3">
      <c r="B46" s="155"/>
      <c r="C46" s="243" t="str">
        <f>'Non-res - Ordinance Values'!B$28</f>
        <v>Surface parking</v>
      </c>
      <c r="D46" s="107">
        <v>0</v>
      </c>
      <c r="E46" s="243" t="str">
        <f>'Non-res - Ordinance Values'!C28</f>
        <v>space</v>
      </c>
      <c r="F46" s="243" cm="1">
        <f t="array" ref="F46">Allowance_Selection[[#This Row],[Number of Type]]*VLOOKUP(Allowance_Selection[[#This Row],[Allowance Type]],'Non-res - Ordinance Values'!$B$24:$G$30,_xlfn.IFS(D$27="LZ0",3,D$27="LZ1",4,D$27="LZ2",5,D$27="LZ3",6),FALSE)</f>
        <v>0</v>
      </c>
      <c r="G46" s="243" t="s">
        <v>236</v>
      </c>
      <c r="L46" s="105"/>
      <c r="M46" s="184"/>
      <c r="N46" s="184"/>
      <c r="O46" s="184"/>
      <c r="P46" s="184"/>
      <c r="Q46" s="184"/>
      <c r="R46" s="184"/>
    </row>
    <row r="47" spans="1:20" ht="28.95" customHeight="1" x14ac:dyDescent="0.3">
      <c r="B47" s="155"/>
      <c r="C47" s="243" t="str">
        <f>'Non-res - Ordinance Values'!B$29</f>
        <v>Gas Station Canopy</v>
      </c>
      <c r="D47" s="107">
        <v>0</v>
      </c>
      <c r="E47" s="243" t="str">
        <f>'Non-res - Ordinance Values'!C29</f>
        <v>pump</v>
      </c>
      <c r="F47" s="243" cm="1">
        <f t="array" ref="F47">Allowance_Selection[[#This Row],[Number of Type]]*VLOOKUP(Allowance_Selection[[#This Row],[Allowance Type]],'Non-res - Ordinance Values'!$B$24:$G$30,_xlfn.IFS(D$27="LZ0",3,D$27="LZ1",4,D$27="LZ2",5,D$27="LZ3",6),FALSE)</f>
        <v>0</v>
      </c>
      <c r="G47" s="243" t="s">
        <v>237</v>
      </c>
      <c r="L47" s="105"/>
      <c r="M47" s="184"/>
      <c r="N47" s="184"/>
      <c r="O47" s="184"/>
      <c r="P47" s="184"/>
      <c r="Q47" s="184"/>
      <c r="R47" s="184"/>
    </row>
    <row r="48" spans="1:20" ht="45" x14ac:dyDescent="0.3">
      <c r="B48" s="155"/>
      <c r="C48" s="243" t="str">
        <f>'Non-res - Ordinance Values'!B$30</f>
        <v>Outdoor Dining</v>
      </c>
      <c r="D48" s="107">
        <v>0</v>
      </c>
      <c r="E48" s="243" t="str">
        <f>'Non-res - Ordinance Values'!C30</f>
        <v>square foot of outdoor dining area</v>
      </c>
      <c r="F48" s="243" cm="1">
        <f t="array" ref="F48">Allowance_Selection[[#This Row],[Number of Type]]*VLOOKUP(Allowance_Selection[[#This Row],[Allowance Type]],'Non-res - Ordinance Values'!$B$24:$G$30,_xlfn.IFS(D$27="LZ0",3,D$27="LZ1",4,D$27="LZ2",5,D$27="LZ3",6),FALSE)</f>
        <v>0</v>
      </c>
      <c r="G48" s="243" t="s">
        <v>238</v>
      </c>
      <c r="L48" s="105"/>
      <c r="M48" s="184"/>
      <c r="N48" s="184"/>
      <c r="O48" s="184"/>
      <c r="P48" s="184"/>
      <c r="Q48" s="184"/>
      <c r="R48" s="184"/>
    </row>
    <row r="49" spans="1:22" ht="73.5" customHeight="1" thickBot="1" x14ac:dyDescent="0.35">
      <c r="A49" s="331"/>
      <c r="B49" s="331"/>
      <c r="C49" s="331"/>
      <c r="D49" s="331"/>
      <c r="E49" s="331"/>
      <c r="F49" s="331"/>
      <c r="G49" s="331"/>
      <c r="H49" s="331"/>
      <c r="I49" s="331"/>
      <c r="J49" s="331"/>
      <c r="K49" s="331"/>
      <c r="L49" s="331"/>
      <c r="M49" s="331"/>
      <c r="N49" s="331"/>
      <c r="O49" s="331"/>
      <c r="P49" s="331"/>
      <c r="Q49" s="331"/>
      <c r="R49" s="331"/>
      <c r="S49" s="331"/>
    </row>
    <row r="50" spans="1:22" ht="10.5" customHeight="1" thickTop="1" thickBot="1" x14ac:dyDescent="0.35">
      <c r="A50" s="331"/>
      <c r="B50" s="331"/>
      <c r="C50" s="331"/>
      <c r="D50" s="331"/>
      <c r="E50" s="331"/>
      <c r="F50" s="331"/>
      <c r="G50" s="331"/>
      <c r="H50" s="331"/>
      <c r="I50" s="331"/>
      <c r="J50" s="331"/>
      <c r="K50" s="331"/>
      <c r="L50" s="331"/>
      <c r="M50" s="331"/>
      <c r="N50" s="331"/>
      <c r="O50" s="331"/>
      <c r="P50" s="331"/>
      <c r="Q50" s="331"/>
      <c r="R50" s="331"/>
      <c r="S50" s="331"/>
    </row>
    <row r="51" spans="1:22" ht="30" customHeight="1" thickTop="1" x14ac:dyDescent="0.3">
      <c r="B51" s="332" t="s">
        <v>316</v>
      </c>
      <c r="C51" s="168"/>
      <c r="L51" s="184"/>
      <c r="M51" s="184"/>
      <c r="N51" s="184"/>
      <c r="O51" s="184"/>
      <c r="P51" s="184"/>
      <c r="Q51" s="184"/>
    </row>
    <row r="52" spans="1:22" ht="49.2" customHeight="1" x14ac:dyDescent="0.3">
      <c r="B52" s="185"/>
      <c r="C52" s="572" t="s">
        <v>330</v>
      </c>
      <c r="D52" s="429"/>
      <c r="E52" s="429"/>
      <c r="F52" s="429"/>
      <c r="G52" s="429"/>
      <c r="H52" s="429"/>
      <c r="L52" s="184"/>
      <c r="M52" s="184"/>
      <c r="N52" s="184"/>
      <c r="O52" s="184"/>
      <c r="P52" s="184"/>
      <c r="Q52" s="184"/>
    </row>
    <row r="53" spans="1:22" ht="15.6" x14ac:dyDescent="0.3">
      <c r="B53" s="185"/>
      <c r="C53" s="182" t="s">
        <v>132</v>
      </c>
      <c r="L53" s="184"/>
      <c r="M53" s="184"/>
      <c r="N53" s="184"/>
      <c r="O53" s="184"/>
      <c r="P53" s="184"/>
      <c r="Q53" s="184"/>
    </row>
    <row r="54" spans="1:22" ht="15.6" x14ac:dyDescent="0.3">
      <c r="B54" s="185"/>
      <c r="C54" s="182" t="s">
        <v>162</v>
      </c>
      <c r="L54" s="184"/>
      <c r="M54" s="184"/>
      <c r="N54" s="184"/>
      <c r="O54" s="184"/>
      <c r="P54" s="184"/>
      <c r="Q54" s="184"/>
    </row>
    <row r="55" spans="1:22" x14ac:dyDescent="0.3">
      <c r="B55" s="155"/>
      <c r="K55" s="184"/>
      <c r="L55" s="184"/>
      <c r="M55" s="184"/>
      <c r="N55" s="184"/>
      <c r="O55" s="184"/>
      <c r="P55" s="184"/>
    </row>
    <row r="56" spans="1:22" ht="30" x14ac:dyDescent="0.3">
      <c r="B56" s="155"/>
      <c r="C56" s="186" t="s">
        <v>163</v>
      </c>
      <c r="D56" s="187" t="s">
        <v>131</v>
      </c>
      <c r="E56" s="187" t="s">
        <v>213</v>
      </c>
      <c r="F56" s="188" t="s">
        <v>3</v>
      </c>
      <c r="G56" s="188" t="s">
        <v>4</v>
      </c>
      <c r="H56" s="187" t="s">
        <v>6</v>
      </c>
      <c r="I56" s="187" t="s">
        <v>9</v>
      </c>
      <c r="J56" s="187" t="s">
        <v>148</v>
      </c>
      <c r="K56" s="187" t="s">
        <v>219</v>
      </c>
      <c r="L56" s="187" t="s">
        <v>220</v>
      </c>
      <c r="M56" s="187" t="s">
        <v>221</v>
      </c>
      <c r="N56" s="187" t="s">
        <v>246</v>
      </c>
      <c r="O56" s="189" t="s">
        <v>70</v>
      </c>
      <c r="Q56" s="184"/>
      <c r="R56" s="184"/>
      <c r="S56" s="184"/>
      <c r="T56" s="184"/>
      <c r="U56" s="184"/>
      <c r="V56" s="184"/>
    </row>
    <row r="57" spans="1:22" ht="34.799999999999997" customHeight="1" x14ac:dyDescent="0.3">
      <c r="B57" s="155"/>
      <c r="C57" s="108"/>
      <c r="D57" s="237" t="s">
        <v>336</v>
      </c>
      <c r="E57" s="106" t="s">
        <v>336</v>
      </c>
      <c r="F57" s="238"/>
      <c r="G57" s="111"/>
      <c r="H57" s="250">
        <f t="shared" ref="H57:H67" si="0">F57*G57</f>
        <v>0</v>
      </c>
      <c r="I57" s="210"/>
      <c r="J57" s="109" t="s">
        <v>336</v>
      </c>
      <c r="K57" s="251" t="str">
        <f>IF(OR(Project_Info_Comm[[#This Row],[Mounting Type Fixture/Application]]=0,Project_Info_Comm[[#This Row],[Mounting Type Fixture/Application]]="Choose from dropdown"),"",VLOOKUP(Project_Info_Comm[[#This Row],[Mounting Type Fixture/Application]],'Non-res - Ordinance Values'!$B$3:$C$13,2,FALSE))</f>
        <v/>
      </c>
      <c r="L57" s="111"/>
      <c r="M57" s="111" t="s">
        <v>336</v>
      </c>
      <c r="N57" s="251" t="str">
        <f>_xlfn.IFNA(IF(AND(Project_Info_Comm[[#This Row],[Proposed/Existing?]]='NonRes - Proposed Fixture'!$A$2,$D$89="No"),"Existing to Remain",'NonRes - Proposed Fixture'!U6),"")</f>
        <v>More info needed</v>
      </c>
      <c r="O57" s="418" t="str">
        <f>_xlfn.IFNA(_xlfn.TEXTJOIN(" ",TRUE,'NonRes - Proposed Fixture'!E6,'NonRes - Proposed Fixture'!F6,'NonRes - Proposed Fixture'!H6,'NonRes - Proposed Fixture'!I6,'NonRes - Proposed Fixture'!L6)&amp;".","")</f>
        <v>.</v>
      </c>
      <c r="Q57" s="155"/>
      <c r="R57" s="155"/>
      <c r="S57" s="155"/>
    </row>
    <row r="58" spans="1:22" x14ac:dyDescent="0.3">
      <c r="C58" s="112"/>
      <c r="D58" s="110"/>
      <c r="E58" s="110"/>
      <c r="F58" s="113"/>
      <c r="G58" s="111"/>
      <c r="H58" s="250">
        <f t="shared" si="0"/>
        <v>0</v>
      </c>
      <c r="I58" s="109"/>
      <c r="J58" s="111"/>
      <c r="K58" s="251" t="str">
        <f>IF(OR(Project_Info_Comm[[#This Row],[Mounting Type Fixture/Application]]=0,Project_Info_Comm[[#This Row],[Mounting Type Fixture/Application]]="Choose from dropdown"),"",VLOOKUP(Project_Info_Comm[[#This Row],[Mounting Type Fixture/Application]],'Non-res - Ordinance Values'!$B$3:$C$13,2,FALSE))</f>
        <v/>
      </c>
      <c r="L58" s="111"/>
      <c r="M58" s="111"/>
      <c r="N58" s="251" t="str">
        <f>_xlfn.IFNA(IF(AND(Project_Info_Comm[[#This Row],[Proposed/Existing?]]='NonRes - Proposed Fixture'!$A$2,$D$89="No"),"Existing to Remain",'NonRes - Proposed Fixture'!U7),"")</f>
        <v>More info needed</v>
      </c>
      <c r="O58" s="256" t="str">
        <f>_xlfn.IFNA(_xlfn.TEXTJOIN(" ",TRUE,'NonRes - Proposed Fixture'!E7,'NonRes - Proposed Fixture'!F7,'NonRes - Proposed Fixture'!H7,'NonRes - Proposed Fixture'!I7,'NonRes - Proposed Fixture'!L7)&amp;".","")</f>
        <v>.</v>
      </c>
      <c r="Q58" s="155"/>
      <c r="R58" s="155"/>
      <c r="S58" s="155"/>
    </row>
    <row r="59" spans="1:22" x14ac:dyDescent="0.3">
      <c r="C59" s="112"/>
      <c r="D59" s="110"/>
      <c r="E59" s="110"/>
      <c r="F59" s="113"/>
      <c r="G59" s="111"/>
      <c r="H59" s="250">
        <f t="shared" si="0"/>
        <v>0</v>
      </c>
      <c r="I59" s="211"/>
      <c r="J59" s="111"/>
      <c r="K59" s="251" t="str">
        <f>IF(OR(Project_Info_Comm[[#This Row],[Mounting Type Fixture/Application]]=0,Project_Info_Comm[[#This Row],[Mounting Type Fixture/Application]]="Choose from dropdown"),"",VLOOKUP(Project_Info_Comm[[#This Row],[Mounting Type Fixture/Application]],'Non-res - Ordinance Values'!$B$3:$C$13,2,FALSE))</f>
        <v/>
      </c>
      <c r="L59" s="111"/>
      <c r="M59" s="111"/>
      <c r="N59" s="251" t="str">
        <f>_xlfn.IFNA(IF(AND(Project_Info_Comm[[#This Row],[Proposed/Existing?]]='NonRes - Proposed Fixture'!$A$2,$D$89="No"),"Existing to Remain",'NonRes - Proposed Fixture'!U8),"")</f>
        <v>More info needed</v>
      </c>
      <c r="O59" s="256" t="str">
        <f>_xlfn.IFNA(_xlfn.TEXTJOIN(" ",TRUE,'NonRes - Proposed Fixture'!E8,'NonRes - Proposed Fixture'!F8,'NonRes - Proposed Fixture'!H8,'NonRes - Proposed Fixture'!I8,'NonRes - Proposed Fixture'!L8)&amp;".","")</f>
        <v>.</v>
      </c>
      <c r="Q59" s="155"/>
      <c r="R59" s="155"/>
      <c r="S59" s="155"/>
    </row>
    <row r="60" spans="1:22" x14ac:dyDescent="0.3">
      <c r="C60" s="112"/>
      <c r="D60" s="110"/>
      <c r="E60" s="110"/>
      <c r="F60" s="113"/>
      <c r="G60" s="111"/>
      <c r="H60" s="250">
        <f t="shared" si="0"/>
        <v>0</v>
      </c>
      <c r="I60" s="211"/>
      <c r="J60" s="111"/>
      <c r="K60" s="251" t="str">
        <f>IF(OR(Project_Info_Comm[[#This Row],[Mounting Type Fixture/Application]]=0,Project_Info_Comm[[#This Row],[Mounting Type Fixture/Application]]="Choose from dropdown"),"",VLOOKUP(Project_Info_Comm[[#This Row],[Mounting Type Fixture/Application]],'Non-res - Ordinance Values'!$B$3:$C$13,2,FALSE))</f>
        <v/>
      </c>
      <c r="L60" s="111"/>
      <c r="M60" s="111"/>
      <c r="N60" s="251" t="str">
        <f>_xlfn.IFNA(IF(AND(Project_Info_Comm[[#This Row],[Proposed/Existing?]]='NonRes - Proposed Fixture'!$A$2,$D$89="No"),"Existing to Remain",'NonRes - Proposed Fixture'!U9),"")</f>
        <v>More info needed</v>
      </c>
      <c r="O60" s="256" t="str">
        <f>_xlfn.IFNA(_xlfn.TEXTJOIN(" ",TRUE,'NonRes - Proposed Fixture'!E9,'NonRes - Proposed Fixture'!F9,'NonRes - Proposed Fixture'!H9,'NonRes - Proposed Fixture'!I9,'NonRes - Proposed Fixture'!L9)&amp;".","")</f>
        <v>.</v>
      </c>
      <c r="Q60" s="155"/>
      <c r="R60" s="155"/>
      <c r="S60" s="155"/>
    </row>
    <row r="61" spans="1:22" x14ac:dyDescent="0.3">
      <c r="C61" s="112"/>
      <c r="D61" s="110"/>
      <c r="E61" s="110"/>
      <c r="F61" s="113"/>
      <c r="G61" s="111"/>
      <c r="H61" s="250">
        <f t="shared" si="0"/>
        <v>0</v>
      </c>
      <c r="I61" s="211"/>
      <c r="J61" s="111"/>
      <c r="K61" s="251" t="str">
        <f>IF(OR(Project_Info_Comm[[#This Row],[Mounting Type Fixture/Application]]=0,Project_Info_Comm[[#This Row],[Mounting Type Fixture/Application]]="Choose from dropdown"),"",VLOOKUP(Project_Info_Comm[[#This Row],[Mounting Type Fixture/Application]],'Non-res - Ordinance Values'!$B$3:$C$13,2,FALSE))</f>
        <v/>
      </c>
      <c r="L61" s="111"/>
      <c r="M61" s="111"/>
      <c r="N61" s="251" t="str">
        <f>_xlfn.IFNA(IF(AND(Project_Info_Comm[[#This Row],[Proposed/Existing?]]='NonRes - Proposed Fixture'!$A$2,$D$89="No"),"Existing to Remain",'NonRes - Proposed Fixture'!U10),"")</f>
        <v>More info needed</v>
      </c>
      <c r="O61" s="256" t="str">
        <f>_xlfn.IFNA(_xlfn.TEXTJOIN(" ",TRUE,'NonRes - Proposed Fixture'!E10,'NonRes - Proposed Fixture'!F10,'NonRes - Proposed Fixture'!H10,'NonRes - Proposed Fixture'!I10,'NonRes - Proposed Fixture'!L10)&amp;".","")</f>
        <v>.</v>
      </c>
      <c r="Q61" s="155"/>
      <c r="R61" s="155"/>
      <c r="S61" s="155"/>
    </row>
    <row r="62" spans="1:22" x14ac:dyDescent="0.3">
      <c r="C62" s="112"/>
      <c r="D62" s="110"/>
      <c r="E62" s="110"/>
      <c r="F62" s="113"/>
      <c r="G62" s="111"/>
      <c r="H62" s="250">
        <f t="shared" si="0"/>
        <v>0</v>
      </c>
      <c r="I62" s="211"/>
      <c r="J62" s="111"/>
      <c r="K62" s="251" t="str">
        <f>IF(OR(Project_Info_Comm[[#This Row],[Mounting Type Fixture/Application]]=0,Project_Info_Comm[[#This Row],[Mounting Type Fixture/Application]]="Choose from dropdown"),"",VLOOKUP(Project_Info_Comm[[#This Row],[Mounting Type Fixture/Application]],'Non-res - Ordinance Values'!$B$3:$C$13,2,FALSE))</f>
        <v/>
      </c>
      <c r="L62" s="111"/>
      <c r="M62" s="111"/>
      <c r="N62" s="251" t="str">
        <f>_xlfn.IFNA(IF(AND(Project_Info_Comm[[#This Row],[Proposed/Existing?]]='NonRes - Proposed Fixture'!$A$2,$D$89="No"),"Existing to Remain",'NonRes - Proposed Fixture'!U11),"")</f>
        <v>More info needed</v>
      </c>
      <c r="O62" s="256" t="str">
        <f>_xlfn.IFNA(_xlfn.TEXTJOIN(" ",TRUE,'NonRes - Proposed Fixture'!E11,'NonRes - Proposed Fixture'!F11,'NonRes - Proposed Fixture'!H11,'NonRes - Proposed Fixture'!I11,'NonRes - Proposed Fixture'!L11)&amp;".","")</f>
        <v>.</v>
      </c>
      <c r="Q62" s="155"/>
      <c r="R62" s="155"/>
      <c r="S62" s="155"/>
    </row>
    <row r="63" spans="1:22" x14ac:dyDescent="0.3">
      <c r="C63" s="112"/>
      <c r="D63" s="110"/>
      <c r="E63" s="110"/>
      <c r="F63" s="113"/>
      <c r="G63" s="111"/>
      <c r="H63" s="250">
        <f t="shared" si="0"/>
        <v>0</v>
      </c>
      <c r="I63" s="211"/>
      <c r="J63" s="111"/>
      <c r="K63" s="251" t="str">
        <f>IF(OR(Project_Info_Comm[[#This Row],[Mounting Type Fixture/Application]]=0,Project_Info_Comm[[#This Row],[Mounting Type Fixture/Application]]="Choose from dropdown"),"",VLOOKUP(Project_Info_Comm[[#This Row],[Mounting Type Fixture/Application]],'Non-res - Ordinance Values'!$B$3:$C$13,2,FALSE))</f>
        <v/>
      </c>
      <c r="L63" s="111"/>
      <c r="M63" s="111"/>
      <c r="N63" s="251" t="str">
        <f>_xlfn.IFNA(IF(AND(Project_Info_Comm[[#This Row],[Proposed/Existing?]]='NonRes - Proposed Fixture'!$A$2,$D$89="No"),"Existing to Remain",'NonRes - Proposed Fixture'!U12),"")</f>
        <v>More info needed</v>
      </c>
      <c r="O63" s="256" t="str">
        <f>_xlfn.IFNA(_xlfn.TEXTJOIN(" ",TRUE,'NonRes - Proposed Fixture'!E12,'NonRes - Proposed Fixture'!F12,'NonRes - Proposed Fixture'!H12,'NonRes - Proposed Fixture'!I12,'NonRes - Proposed Fixture'!L12)&amp;".","")</f>
        <v>.</v>
      </c>
      <c r="R63" s="155"/>
      <c r="S63" s="155"/>
      <c r="T63" s="155"/>
    </row>
    <row r="64" spans="1:22" x14ac:dyDescent="0.3">
      <c r="C64" s="112"/>
      <c r="D64" s="110"/>
      <c r="E64" s="110"/>
      <c r="F64" s="113"/>
      <c r="G64" s="111"/>
      <c r="H64" s="250">
        <f t="shared" si="0"/>
        <v>0</v>
      </c>
      <c r="I64" s="211"/>
      <c r="J64" s="111"/>
      <c r="K64" s="251" t="str">
        <f>IF(OR(Project_Info_Comm[[#This Row],[Mounting Type Fixture/Application]]=0,Project_Info_Comm[[#This Row],[Mounting Type Fixture/Application]]="Choose from dropdown"),"",VLOOKUP(Project_Info_Comm[[#This Row],[Mounting Type Fixture/Application]],'Non-res - Ordinance Values'!$B$3:$C$13,2,FALSE))</f>
        <v/>
      </c>
      <c r="L64" s="111"/>
      <c r="M64" s="111"/>
      <c r="N64" s="251" t="str">
        <f>_xlfn.IFNA(IF(AND(Project_Info_Comm[[#This Row],[Proposed/Existing?]]='NonRes - Proposed Fixture'!$A$2,$D$89="No"),"Existing to Remain",'NonRes - Proposed Fixture'!U13),"")</f>
        <v>More info needed</v>
      </c>
      <c r="O64" s="256" t="str">
        <f>_xlfn.IFNA(_xlfn.TEXTJOIN(" ",TRUE,'NonRes - Proposed Fixture'!E13,'NonRes - Proposed Fixture'!F13,'NonRes - Proposed Fixture'!H13,'NonRes - Proposed Fixture'!I13,'NonRes - Proposed Fixture'!L13)&amp;".","")</f>
        <v>.</v>
      </c>
      <c r="R64" s="155"/>
      <c r="S64" s="155"/>
      <c r="T64" s="155"/>
    </row>
    <row r="65" spans="1:20" x14ac:dyDescent="0.3">
      <c r="C65" s="112"/>
      <c r="D65" s="110"/>
      <c r="E65" s="110"/>
      <c r="F65" s="113"/>
      <c r="G65" s="111"/>
      <c r="H65" s="250">
        <f t="shared" si="0"/>
        <v>0</v>
      </c>
      <c r="I65" s="211"/>
      <c r="J65" s="111"/>
      <c r="K65" s="251" t="str">
        <f>IF(OR(Project_Info_Comm[[#This Row],[Mounting Type Fixture/Application]]=0,Project_Info_Comm[[#This Row],[Mounting Type Fixture/Application]]="Choose from dropdown"),"",VLOOKUP(Project_Info_Comm[[#This Row],[Mounting Type Fixture/Application]],'Non-res - Ordinance Values'!$B$3:$C$13,2,FALSE))</f>
        <v/>
      </c>
      <c r="L65" s="111"/>
      <c r="M65" s="111"/>
      <c r="N65" s="251" t="str">
        <f>_xlfn.IFNA(IF(AND(Project_Info_Comm[[#This Row],[Proposed/Existing?]]='NonRes - Proposed Fixture'!$A$2,$D$89="No"),"Existing to Remain",'NonRes - Proposed Fixture'!U14),"")</f>
        <v>More info needed</v>
      </c>
      <c r="O65" s="256" t="str">
        <f>_xlfn.IFNA(_xlfn.TEXTJOIN(" ",TRUE,'NonRes - Proposed Fixture'!E14,'NonRes - Proposed Fixture'!F14,'NonRes - Proposed Fixture'!H14,'NonRes - Proposed Fixture'!I14,'NonRes - Proposed Fixture'!L14)&amp;".","")</f>
        <v>.</v>
      </c>
      <c r="R65" s="155"/>
      <c r="S65" s="155"/>
      <c r="T65" s="155"/>
    </row>
    <row r="66" spans="1:20" x14ac:dyDescent="0.3">
      <c r="C66" s="112"/>
      <c r="D66" s="110"/>
      <c r="E66" s="110"/>
      <c r="F66" s="113"/>
      <c r="G66" s="111"/>
      <c r="H66" s="250">
        <f t="shared" si="0"/>
        <v>0</v>
      </c>
      <c r="I66" s="211"/>
      <c r="J66" s="111"/>
      <c r="K66" s="251" t="str">
        <f>IF(OR(Project_Info_Comm[[#This Row],[Mounting Type Fixture/Application]]=0,Project_Info_Comm[[#This Row],[Mounting Type Fixture/Application]]="Choose from dropdown"),"",VLOOKUP(Project_Info_Comm[[#This Row],[Mounting Type Fixture/Application]],'Non-res - Ordinance Values'!$B$3:$C$13,2,FALSE))</f>
        <v/>
      </c>
      <c r="L66" s="111"/>
      <c r="M66" s="111"/>
      <c r="N66" s="251" t="str">
        <f>_xlfn.IFNA(IF(AND(Project_Info_Comm[[#This Row],[Proposed/Existing?]]='NonRes - Proposed Fixture'!$A$2,$D$89="No"),"Existing to Remain",'NonRes - Proposed Fixture'!U15),"")</f>
        <v>More info needed</v>
      </c>
      <c r="O66" s="256" t="str">
        <f>_xlfn.IFNA(_xlfn.TEXTJOIN(" ",TRUE,'NonRes - Proposed Fixture'!E15,'NonRes - Proposed Fixture'!F15,'NonRes - Proposed Fixture'!H15,'NonRes - Proposed Fixture'!I15,'NonRes - Proposed Fixture'!L15)&amp;".","")</f>
        <v>.</v>
      </c>
      <c r="R66" s="155"/>
      <c r="S66" s="155"/>
      <c r="T66" s="155"/>
    </row>
    <row r="67" spans="1:20" x14ac:dyDescent="0.3">
      <c r="C67" s="115"/>
      <c r="D67" s="116"/>
      <c r="E67" s="116"/>
      <c r="F67" s="117"/>
      <c r="G67" s="118"/>
      <c r="H67" s="250">
        <f t="shared" si="0"/>
        <v>0</v>
      </c>
      <c r="I67" s="212"/>
      <c r="J67" s="118"/>
      <c r="K67" s="251" t="str">
        <f>IF(OR(Project_Info_Comm[[#This Row],[Mounting Type Fixture/Application]]=0,Project_Info_Comm[[#This Row],[Mounting Type Fixture/Application]]="Choose from dropdown"),"",VLOOKUP(Project_Info_Comm[[#This Row],[Mounting Type Fixture/Application]],'Non-res - Ordinance Values'!$B$3:$C$13,2,FALSE))</f>
        <v/>
      </c>
      <c r="L67" s="118"/>
      <c r="M67" s="118"/>
      <c r="N67" s="251" t="str">
        <f>_xlfn.IFNA(IF(AND(Project_Info_Comm[[#This Row],[Proposed/Existing?]]='NonRes - Proposed Fixture'!$A$2,$D$89="No"),"Existing to Remain",'NonRes - Proposed Fixture'!U16),"")</f>
        <v>More info needed</v>
      </c>
      <c r="O67" s="256" t="str">
        <f>_xlfn.IFNA(_xlfn.TEXTJOIN(" ",TRUE,'NonRes - Proposed Fixture'!E16,'NonRes - Proposed Fixture'!F16,'NonRes - Proposed Fixture'!H16,'NonRes - Proposed Fixture'!I16,'NonRes - Proposed Fixture'!L16)&amp;".","")</f>
        <v>.</v>
      </c>
      <c r="R67" s="155"/>
      <c r="S67" s="155"/>
      <c r="T67" s="155"/>
    </row>
    <row r="68" spans="1:20" ht="78.45" customHeight="1" thickBot="1" x14ac:dyDescent="0.35">
      <c r="A68" s="331"/>
      <c r="B68" s="331"/>
      <c r="C68" s="331"/>
      <c r="D68" s="331"/>
      <c r="E68" s="331"/>
      <c r="F68" s="331"/>
      <c r="G68" s="331"/>
      <c r="H68" s="331"/>
      <c r="I68" s="331"/>
      <c r="J68" s="331"/>
      <c r="K68" s="331"/>
      <c r="L68" s="331"/>
      <c r="M68" s="331"/>
      <c r="N68" s="331"/>
      <c r="O68" s="331"/>
      <c r="P68" s="331"/>
      <c r="Q68" s="331"/>
      <c r="R68" s="331"/>
      <c r="S68" s="331"/>
    </row>
    <row r="69" spans="1:20" ht="34.200000000000003" customHeight="1" thickTop="1" x14ac:dyDescent="0.3">
      <c r="B69" s="332" t="s">
        <v>322</v>
      </c>
    </row>
    <row r="71" spans="1:20" ht="43.2" customHeight="1" x14ac:dyDescent="0.3">
      <c r="C71" s="169" t="s">
        <v>124</v>
      </c>
      <c r="D71" s="304" t="s">
        <v>123</v>
      </c>
      <c r="E71" s="304" t="s">
        <v>120</v>
      </c>
      <c r="F71" s="304" t="s">
        <v>121</v>
      </c>
      <c r="G71" s="171" t="s">
        <v>122</v>
      </c>
      <c r="P71" s="105" t="s">
        <v>346</v>
      </c>
    </row>
    <row r="72" spans="1:20" ht="30" x14ac:dyDescent="0.3">
      <c r="C72" s="249" t="s">
        <v>118</v>
      </c>
      <c r="D72" s="257">
        <f>MAX(1,SUM(Allowance_Selection[Calculated Allowance]))</f>
        <v>1</v>
      </c>
      <c r="E72" s="239" t="s">
        <v>7</v>
      </c>
      <c r="F72" s="239"/>
      <c r="G72" s="258" t="s">
        <v>295</v>
      </c>
    </row>
    <row r="73" spans="1:20" x14ac:dyDescent="0.3">
      <c r="C73" s="259"/>
      <c r="D73" s="260"/>
      <c r="E73" s="260"/>
      <c r="F73" s="260"/>
      <c r="G73" s="246"/>
    </row>
    <row r="74" spans="1:20" ht="29.55" hidden="1" customHeight="1" x14ac:dyDescent="0.3">
      <c r="C74" s="241" t="s">
        <v>218</v>
      </c>
      <c r="D74" s="120">
        <f>SUM(H57:H67)-SUMIF(D57:D67,'Non-res - Ordinance Values'!$B$20,H57:H67)-SUMIF(D57:D67,'Non-res - Ordinance Values'!$B$18,H57:H67)</f>
        <v>0</v>
      </c>
      <c r="E74" s="239" t="s">
        <v>7</v>
      </c>
      <c r="F74" s="239"/>
      <c r="G74" s="190"/>
    </row>
    <row r="75" spans="1:20" ht="60" x14ac:dyDescent="0.3">
      <c r="C75" s="241" t="s">
        <v>128</v>
      </c>
      <c r="D75" s="121">
        <f>D74/D72</f>
        <v>0</v>
      </c>
      <c r="E75" s="239"/>
      <c r="F75" s="261" t="str">
        <f>IF(D74&gt;D72*0.2,"FAIL","PASS")</f>
        <v>PASS</v>
      </c>
      <c r="G75" s="262" t="s">
        <v>165</v>
      </c>
    </row>
    <row r="76" spans="1:20" ht="41.55" customHeight="1" x14ac:dyDescent="0.3">
      <c r="C76" s="263" t="s">
        <v>119</v>
      </c>
      <c r="D76" s="264">
        <f>SUM(Project_Info_Comm[Total Lumens])</f>
        <v>0</v>
      </c>
      <c r="E76" s="264" t="s">
        <v>7</v>
      </c>
      <c r="F76" s="265" t="str">
        <f>IF(OR(D76&gt;D72,'NonRes Parcel Fail Analysis'!B10="More than 40% of lumens proposed - change project scope (C30), "),"FAIL","PASS")</f>
        <v>PASS</v>
      </c>
      <c r="G76" s="266" t="str">
        <f>IF('NonRes Parcel Fail Analysis'!E10="FAIL","More than 40% of lumens proposed - change project scope (C30)","")</f>
        <v/>
      </c>
      <c r="H76" s="176"/>
      <c r="I76" s="122"/>
      <c r="K76" s="168"/>
      <c r="L76" s="191"/>
      <c r="M76" s="105"/>
      <c r="N76" s="105"/>
      <c r="Q76" s="155"/>
      <c r="R76" s="155"/>
      <c r="S76" s="155"/>
    </row>
    <row r="77" spans="1:20" ht="57.45" customHeight="1" thickBot="1" x14ac:dyDescent="0.35">
      <c r="A77" s="331"/>
      <c r="B77" s="331"/>
      <c r="C77" s="331"/>
      <c r="D77" s="331"/>
      <c r="E77" s="331"/>
      <c r="F77" s="331"/>
      <c r="G77" s="331"/>
      <c r="H77" s="331"/>
      <c r="I77" s="331"/>
      <c r="J77" s="331"/>
      <c r="K77" s="331"/>
      <c r="L77" s="331"/>
      <c r="M77" s="331"/>
      <c r="N77" s="331"/>
      <c r="O77" s="331"/>
      <c r="P77" s="331"/>
      <c r="Q77" s="331"/>
      <c r="R77" s="331"/>
      <c r="S77" s="331"/>
    </row>
    <row r="78" spans="1:20" ht="39.75" customHeight="1" thickTop="1" x14ac:dyDescent="0.3">
      <c r="B78" s="168" t="s">
        <v>323</v>
      </c>
    </row>
    <row r="79" spans="1:20" ht="30" customHeight="1" x14ac:dyDescent="0.3">
      <c r="C79" s="166" t="s">
        <v>413</v>
      </c>
    </row>
    <row r="80" spans="1:20" ht="30" x14ac:dyDescent="0.3">
      <c r="C80" s="169" t="s">
        <v>198</v>
      </c>
      <c r="D80" s="187" t="s">
        <v>216</v>
      </c>
      <c r="E80" s="187" t="s">
        <v>285</v>
      </c>
      <c r="F80" s="187" t="s">
        <v>121</v>
      </c>
      <c r="G80" s="171" t="s">
        <v>122</v>
      </c>
      <c r="K80" s="155"/>
      <c r="N80" s="105"/>
    </row>
    <row r="81" spans="1:20" x14ac:dyDescent="0.3">
      <c r="C81" s="267" t="str">
        <f>'Non-res - Ordinance Values'!$B$25</f>
        <v>Building Entrance(s)</v>
      </c>
      <c r="D81" s="120">
        <f>SUMIF(Project_Info_Comm[Site Lumen Allowance Type],C81,Project_Info_Comm[Total Lumens])</f>
        <v>0</v>
      </c>
      <c r="E81" s="120">
        <f t="shared" ref="E81:E86" si="1">F43</f>
        <v>0</v>
      </c>
      <c r="F81" s="239" t="str">
        <f>IF(D81&gt;E81,"FAIL","PASS")</f>
        <v>PASS</v>
      </c>
      <c r="G81" s="105" t="str">
        <f>IF(Nonres_analysis[[#This Row],[PASS/FAIL]]="FAIL",_xlfn.CONCAT("Proposed lumens exceed allowed for ",Nonres_analysis[[#This Row],[Application]]),"")</f>
        <v/>
      </c>
      <c r="K81" s="155"/>
      <c r="N81" s="105"/>
    </row>
    <row r="82" spans="1:20" x14ac:dyDescent="0.3">
      <c r="C82" s="267" t="str">
        <f>'Non-res - Ordinance Values'!B$26</f>
        <v>Building Facade</v>
      </c>
      <c r="D82" s="120">
        <f>SUMIF(Project_Info_Comm[Site Lumen Allowance Type],C82,Project_Info_Comm[Total Lumens])</f>
        <v>0</v>
      </c>
      <c r="E82" s="120">
        <f t="shared" si="1"/>
        <v>0</v>
      </c>
      <c r="F82" s="239" t="str">
        <f t="shared" ref="F82:F86" si="2">IF(D82&gt;E82,"FAIL","PASS")</f>
        <v>PASS</v>
      </c>
      <c r="G82" s="244" t="str">
        <f>IF(Nonres_analysis[[#This Row],[PASS/FAIL]]="FAIL",_xlfn.CONCAT("Proposed lumens exceed allowed for ",Nonres_analysis[[#This Row],[Application]]),"")</f>
        <v/>
      </c>
      <c r="K82" s="155"/>
      <c r="N82" s="105"/>
    </row>
    <row r="83" spans="1:20" x14ac:dyDescent="0.3">
      <c r="C83" s="267" t="str">
        <f>'Non-res - Ordinance Values'!B$27</f>
        <v>Nighttime Service Loading</v>
      </c>
      <c r="D83" s="120">
        <f>SUMIF(Project_Info_Comm[Site Lumen Allowance Type],C83,Project_Info_Comm[Total Lumens])</f>
        <v>0</v>
      </c>
      <c r="E83" s="120">
        <f t="shared" si="1"/>
        <v>0</v>
      </c>
      <c r="F83" s="239" t="str">
        <f t="shared" si="2"/>
        <v>PASS</v>
      </c>
      <c r="G83" s="244" t="str">
        <f>IF(Nonres_analysis[[#This Row],[PASS/FAIL]]="FAIL",_xlfn.CONCAT("Proposed lumens exceed allowed for ",Nonres_analysis[[#This Row],[Application]]),"")</f>
        <v/>
      </c>
      <c r="K83" s="155"/>
      <c r="N83" s="105"/>
    </row>
    <row r="84" spans="1:20" x14ac:dyDescent="0.3">
      <c r="C84" s="267" t="str">
        <f>'Non-res - Ordinance Values'!B$28</f>
        <v>Surface parking</v>
      </c>
      <c r="D84" s="120">
        <f>SUMIF(Project_Info_Comm[Site Lumen Allowance Type],C84,Project_Info_Comm[Total Lumens])</f>
        <v>0</v>
      </c>
      <c r="E84" s="120">
        <f t="shared" si="1"/>
        <v>0</v>
      </c>
      <c r="F84" s="239" t="str">
        <f t="shared" si="2"/>
        <v>PASS</v>
      </c>
      <c r="G84" s="244" t="str">
        <f>IF(Nonres_analysis[[#This Row],[PASS/FAIL]]="FAIL",_xlfn.CONCAT("Proposed lumens exceed allowed for ",Nonres_analysis[[#This Row],[Application]]),"")</f>
        <v/>
      </c>
      <c r="K84" s="155"/>
      <c r="N84" s="105"/>
    </row>
    <row r="85" spans="1:20" x14ac:dyDescent="0.3">
      <c r="C85" s="267" t="str">
        <f>'Non-res - Ordinance Values'!B$29</f>
        <v>Gas Station Canopy</v>
      </c>
      <c r="D85" s="120">
        <f>SUMIF(Project_Info_Comm[Site Lumen Allowance Type],C85,Project_Info_Comm[Total Lumens])</f>
        <v>0</v>
      </c>
      <c r="E85" s="120">
        <f t="shared" si="1"/>
        <v>0</v>
      </c>
      <c r="F85" s="239" t="str">
        <f t="shared" si="2"/>
        <v>PASS</v>
      </c>
      <c r="G85" s="244" t="str">
        <f>IF(Nonres_analysis[[#This Row],[PASS/FAIL]]="FAIL",_xlfn.CONCAT("Proposed lumens exceed allowed for ",Nonres_analysis[[#This Row],[Application]]),"")</f>
        <v/>
      </c>
      <c r="K85" s="155"/>
      <c r="N85" s="105"/>
    </row>
    <row r="86" spans="1:20" x14ac:dyDescent="0.3">
      <c r="C86" s="267" t="str">
        <f>'Non-res - Ordinance Values'!B$30</f>
        <v>Outdoor Dining</v>
      </c>
      <c r="D86" s="120">
        <f>SUMIF(Project_Info_Comm[Site Lumen Allowance Type],C86,Project_Info_Comm[Total Lumens])</f>
        <v>0</v>
      </c>
      <c r="E86" s="120">
        <f t="shared" si="1"/>
        <v>0</v>
      </c>
      <c r="F86" s="239" t="str">
        <f t="shared" si="2"/>
        <v>PASS</v>
      </c>
      <c r="G86" s="244" t="str">
        <f>IF(Nonres_analysis[[#This Row],[PASS/FAIL]]="FAIL",_xlfn.CONCAT("Proposed lumens exceed allowed for ",Nonres_analysis[[#This Row],[Application]]),"")</f>
        <v/>
      </c>
      <c r="K86" s="155"/>
      <c r="N86" s="105"/>
    </row>
    <row r="87" spans="1:20" x14ac:dyDescent="0.3">
      <c r="C87" s="192"/>
      <c r="D87" s="193"/>
      <c r="E87" s="194"/>
      <c r="F87" s="125"/>
      <c r="G87" s="126" t="str">
        <f>IF(Nonres_analysis[[#This Row],[PASS/FAIL]]="FAIL",_xlfn.CONCAT("Proposed lumens exceed allowed for ",Nonres_analysis[[#This Row],[Application]]),"")</f>
        <v/>
      </c>
      <c r="K87" s="155"/>
      <c r="N87" s="105"/>
    </row>
    <row r="88" spans="1:20" ht="19.05" customHeight="1" thickBot="1" x14ac:dyDescent="0.35">
      <c r="C88" s="176"/>
      <c r="D88" s="207"/>
      <c r="G88" s="208"/>
    </row>
    <row r="89" spans="1:20" ht="47.25" customHeight="1" thickBot="1" x14ac:dyDescent="0.35">
      <c r="C89" s="305" t="str">
        <f>C30</f>
        <v>Scope triggers entire property into compliance?</v>
      </c>
      <c r="D89" s="306" t="str">
        <f>D30</f>
        <v>No</v>
      </c>
      <c r="E89" s="573" t="str">
        <f>IF(D89="Yes", "Whole parcel compliance required - do not fill out existing parcel analysis","Only fill out existing parcel analysis if proposed parcel does not comply")</f>
        <v>Only fill out existing parcel analysis if proposed parcel does not comply</v>
      </c>
      <c r="F89" s="573"/>
      <c r="G89" s="573"/>
    </row>
    <row r="90" spans="1:20" ht="53.55" customHeight="1" thickBot="1" x14ac:dyDescent="0.35">
      <c r="A90" s="331"/>
      <c r="B90" s="331"/>
      <c r="C90" s="331"/>
      <c r="D90" s="331"/>
      <c r="E90" s="331"/>
      <c r="F90" s="331"/>
      <c r="G90" s="331"/>
      <c r="H90" s="331"/>
      <c r="I90" s="331"/>
      <c r="J90" s="331"/>
      <c r="K90" s="331"/>
      <c r="L90" s="331"/>
      <c r="M90" s="331"/>
      <c r="N90" s="331"/>
      <c r="O90" s="331"/>
      <c r="P90" s="331"/>
      <c r="Q90" s="331"/>
      <c r="R90" s="331"/>
      <c r="S90" s="331"/>
      <c r="T90" s="331"/>
    </row>
    <row r="91" spans="1:20" ht="5.55" customHeight="1" thickTop="1" x14ac:dyDescent="0.3">
      <c r="L91" s="105"/>
      <c r="M91" s="105"/>
      <c r="N91" s="105"/>
    </row>
    <row r="92" spans="1:20" ht="12.75" customHeight="1" thickBot="1" x14ac:dyDescent="0.35">
      <c r="A92" s="331"/>
      <c r="B92" s="331"/>
      <c r="C92" s="331"/>
      <c r="D92" s="331"/>
      <c r="E92" s="331"/>
      <c r="F92" s="331"/>
      <c r="G92" s="331"/>
      <c r="H92" s="331"/>
      <c r="I92" s="331"/>
      <c r="J92" s="331"/>
      <c r="K92" s="331"/>
      <c r="L92" s="331"/>
      <c r="M92" s="331"/>
      <c r="N92" s="331"/>
      <c r="O92" s="331"/>
      <c r="P92" s="331"/>
      <c r="Q92" s="331"/>
      <c r="R92" s="331"/>
      <c r="S92" s="331"/>
      <c r="T92" s="331"/>
    </row>
    <row r="93" spans="1:20" ht="46.8" customHeight="1" thickTop="1" x14ac:dyDescent="0.3">
      <c r="B93" s="168" t="s">
        <v>318</v>
      </c>
    </row>
    <row r="94" spans="1:20" ht="6.75" customHeight="1" x14ac:dyDescent="0.3"/>
    <row r="95" spans="1:20" ht="48" customHeight="1" x14ac:dyDescent="0.3">
      <c r="C95" s="566" t="s">
        <v>359</v>
      </c>
      <c r="D95" s="566"/>
      <c r="E95" s="566"/>
      <c r="F95" s="566"/>
      <c r="G95" s="566"/>
      <c r="H95" s="566"/>
    </row>
    <row r="96" spans="1:20" ht="5.55" customHeight="1" x14ac:dyDescent="0.3"/>
    <row r="97" spans="1:20" ht="43.8" customHeight="1" x14ac:dyDescent="0.3">
      <c r="C97" s="574" t="s">
        <v>330</v>
      </c>
      <c r="D97" s="430"/>
      <c r="E97" s="430"/>
      <c r="F97" s="430"/>
      <c r="G97" s="430"/>
      <c r="H97" s="430"/>
    </row>
    <row r="99" spans="1:20" ht="30" x14ac:dyDescent="0.3">
      <c r="C99" s="195" t="s">
        <v>163</v>
      </c>
      <c r="D99" s="196" t="s">
        <v>131</v>
      </c>
      <c r="E99" s="195" t="s">
        <v>414</v>
      </c>
      <c r="F99" s="195" t="s">
        <v>3</v>
      </c>
      <c r="G99" s="195" t="s">
        <v>4</v>
      </c>
      <c r="H99" s="195" t="s">
        <v>6</v>
      </c>
      <c r="I99" s="195" t="s">
        <v>9</v>
      </c>
      <c r="J99" s="195" t="s">
        <v>148</v>
      </c>
      <c r="K99" s="195" t="s">
        <v>153</v>
      </c>
      <c r="L99" s="195" t="s">
        <v>152</v>
      </c>
      <c r="M99" s="195" t="s">
        <v>221</v>
      </c>
      <c r="N99" s="195" t="s">
        <v>189</v>
      </c>
      <c r="O99" s="195" t="s">
        <v>70</v>
      </c>
    </row>
    <row r="100" spans="1:20" ht="15.6" x14ac:dyDescent="0.3">
      <c r="C100" s="110"/>
      <c r="D100" s="204" t="s">
        <v>336</v>
      </c>
      <c r="E100" s="391" t="s">
        <v>336</v>
      </c>
      <c r="F100" s="398"/>
      <c r="G100" s="393"/>
      <c r="H100" s="404">
        <f>Existing_Info16[[#This Row],[Quantity]]*Existing_Info16[[#This Row],[Lumens]]</f>
        <v>0</v>
      </c>
      <c r="I100" s="395"/>
      <c r="J100" s="396" t="s">
        <v>336</v>
      </c>
      <c r="K100" s="401" t="str">
        <f>IF(OR(Existing_Info16[[#This Row],[Mounting Type Fixture/Application]]=0,Existing_Info16[[#This Row],[Mounting Type Fixture/Application]]="Choose from dropdown"),"",VLOOKUP(Existing_Info16[[#This Row],[Mounting Type Fixture/Application]],'Non-res - Ordinance Values'!$B$3:$C$10,2,FALSE))</f>
        <v/>
      </c>
      <c r="L100" s="396"/>
      <c r="M100" s="396" t="s">
        <v>336</v>
      </c>
      <c r="N100" s="188" t="str">
        <f>'Nonres - existing fixtures'!Q6</f>
        <v>Pass</v>
      </c>
      <c r="O100" s="399" t="str">
        <f>_xlfn.IFNA(_xlfn.TEXTJOIN(" ",TRUE,'Nonres - existing fixtures'!D6,'Nonres - existing fixtures'!F6,'Nonres - existing fixtures'!G6,'Nonres - existing fixtures'!J6)&amp;".","")</f>
        <v>.</v>
      </c>
    </row>
    <row r="101" spans="1:20" ht="15.6" x14ac:dyDescent="0.3">
      <c r="C101" s="110"/>
      <c r="D101" s="123"/>
      <c r="E101" s="110"/>
      <c r="F101" s="113"/>
      <c r="G101" s="392"/>
      <c r="H101" s="405">
        <f>Existing_Info16[[#This Row],[Quantity]]*Existing_Info16[[#This Row],[Lumens]]</f>
        <v>0</v>
      </c>
      <c r="I101" s="114"/>
      <c r="J101" s="111"/>
      <c r="K101" s="402" t="str">
        <f>IF(OR(Existing_Info16[[#This Row],[Mounting Type Fixture/Application]]=0,Existing_Info16[[#This Row],[Mounting Type Fixture/Application]]="Choose from dropdown"),"",VLOOKUP(Existing_Info16[[#This Row],[Mounting Type Fixture/Application]],'Non-res - Ordinance Values'!$B$3:$C$10,2,FALSE))</f>
        <v/>
      </c>
      <c r="L101" s="111"/>
      <c r="M101" s="111"/>
      <c r="N101" s="251" t="str">
        <f>'Nonres - existing fixtures'!Q7</f>
        <v>Pass</v>
      </c>
      <c r="O101" s="397" t="str">
        <f>_xlfn.IFNA(_xlfn.TEXTJOIN(" ",TRUE,'Nonres - existing fixtures'!D7,'Nonres - existing fixtures'!F7,'Nonres - existing fixtures'!G7,'Nonres - existing fixtures'!J7)&amp;".","")</f>
        <v>.</v>
      </c>
    </row>
    <row r="102" spans="1:20" ht="15.6" x14ac:dyDescent="0.3">
      <c r="C102" s="110"/>
      <c r="D102" s="123"/>
      <c r="E102" s="110"/>
      <c r="F102" s="113"/>
      <c r="G102" s="392"/>
      <c r="H102" s="405">
        <f>Existing_Info16[[#This Row],[Quantity]]*Existing_Info16[[#This Row],[Lumens]]</f>
        <v>0</v>
      </c>
      <c r="I102" s="114"/>
      <c r="J102" s="111"/>
      <c r="K102" s="402" t="str">
        <f>IF(OR(Existing_Info16[[#This Row],[Mounting Type Fixture/Application]]=0,Existing_Info16[[#This Row],[Mounting Type Fixture/Application]]="Choose from dropdown"),"",VLOOKUP(Existing_Info16[[#This Row],[Mounting Type Fixture/Application]],'Non-res - Ordinance Values'!$B$3:$C$10,2,FALSE))</f>
        <v/>
      </c>
      <c r="L102" s="111"/>
      <c r="M102" s="111"/>
      <c r="N102" s="251" t="str">
        <f>'Nonres - existing fixtures'!Q8</f>
        <v>Pass</v>
      </c>
      <c r="O102" s="397" t="str">
        <f>_xlfn.IFNA(_xlfn.TEXTJOIN(" ",TRUE,'Nonres - existing fixtures'!D8,'Nonres - existing fixtures'!F8,'Nonres - existing fixtures'!G8,'Nonres - existing fixtures'!J8)&amp;".","")</f>
        <v>.</v>
      </c>
    </row>
    <row r="103" spans="1:20" ht="15.6" x14ac:dyDescent="0.3">
      <c r="C103" s="110"/>
      <c r="D103" s="123"/>
      <c r="E103" s="110"/>
      <c r="F103" s="113"/>
      <c r="G103" s="392"/>
      <c r="H103" s="405">
        <f>Existing_Info16[[#This Row],[Quantity]]*Existing_Info16[[#This Row],[Lumens]]</f>
        <v>0</v>
      </c>
      <c r="I103" s="114"/>
      <c r="J103" s="111"/>
      <c r="K103" s="402" t="str">
        <f>IF(OR(Existing_Info16[[#This Row],[Mounting Type Fixture/Application]]=0,Existing_Info16[[#This Row],[Mounting Type Fixture/Application]]="Choose from dropdown"),"",VLOOKUP(Existing_Info16[[#This Row],[Mounting Type Fixture/Application]],'Non-res - Ordinance Values'!$B$3:$C$10,2,FALSE))</f>
        <v/>
      </c>
      <c r="L103" s="111"/>
      <c r="M103" s="111"/>
      <c r="N103" s="251" t="str">
        <f>'Nonres - existing fixtures'!Q9</f>
        <v>Pass</v>
      </c>
      <c r="O103" s="397" t="str">
        <f>_xlfn.IFNA(_xlfn.TEXTJOIN(" ",TRUE,'Nonres - existing fixtures'!D9,'Nonres - existing fixtures'!F9,'Nonres - existing fixtures'!G9,'Nonres - existing fixtures'!J9)&amp;".","")</f>
        <v>.</v>
      </c>
    </row>
    <row r="104" spans="1:20" ht="15.6" x14ac:dyDescent="0.3">
      <c r="C104" s="110"/>
      <c r="D104" s="123"/>
      <c r="E104" s="110"/>
      <c r="F104" s="113"/>
      <c r="G104" s="392"/>
      <c r="H104" s="405">
        <f>Existing_Info16[[#This Row],[Quantity]]*Existing_Info16[[#This Row],[Lumens]]</f>
        <v>0</v>
      </c>
      <c r="I104" s="114"/>
      <c r="J104" s="111"/>
      <c r="K104" s="402" t="str">
        <f>IF(OR(Existing_Info16[[#This Row],[Mounting Type Fixture/Application]]=0,Existing_Info16[[#This Row],[Mounting Type Fixture/Application]]="Choose from dropdown"),"",VLOOKUP(Existing_Info16[[#This Row],[Mounting Type Fixture/Application]],'Non-res - Ordinance Values'!$B$3:$C$10,2,FALSE))</f>
        <v/>
      </c>
      <c r="L104" s="111"/>
      <c r="M104" s="111"/>
      <c r="N104" s="251" t="str">
        <f>'Nonres - existing fixtures'!Q10</f>
        <v>Pass</v>
      </c>
      <c r="O104" s="397" t="str">
        <f>_xlfn.IFNA(_xlfn.TEXTJOIN(" ",TRUE,'Nonres - existing fixtures'!D10,'Nonres - existing fixtures'!F10,'Nonres - existing fixtures'!G10,'Nonres - existing fixtures'!J10)&amp;".","")</f>
        <v>.</v>
      </c>
    </row>
    <row r="105" spans="1:20" ht="15.6" x14ac:dyDescent="0.3">
      <c r="C105" s="110"/>
      <c r="D105" s="123"/>
      <c r="E105" s="110"/>
      <c r="F105" s="113"/>
      <c r="G105" s="392"/>
      <c r="H105" s="405">
        <f>Existing_Info16[[#This Row],[Quantity]]*Existing_Info16[[#This Row],[Lumens]]</f>
        <v>0</v>
      </c>
      <c r="I105" s="114"/>
      <c r="J105" s="111"/>
      <c r="K105" s="402" t="str">
        <f>IF(OR(Existing_Info16[[#This Row],[Mounting Type Fixture/Application]]=0,Existing_Info16[[#This Row],[Mounting Type Fixture/Application]]="Choose from dropdown"),"",VLOOKUP(Existing_Info16[[#This Row],[Mounting Type Fixture/Application]],'Non-res - Ordinance Values'!$B$3:$C$10,2,FALSE))</f>
        <v/>
      </c>
      <c r="L105" s="111"/>
      <c r="M105" s="111"/>
      <c r="N105" s="251" t="str">
        <f>'Nonres - existing fixtures'!Q11</f>
        <v>Pass</v>
      </c>
      <c r="O105" s="397" t="str">
        <f>_xlfn.IFNA(_xlfn.TEXTJOIN(" ",TRUE,'Nonres - existing fixtures'!D11,'Nonres - existing fixtures'!F11,'Nonres - existing fixtures'!G11,'Nonres - existing fixtures'!J11)&amp;".","")</f>
        <v>.</v>
      </c>
    </row>
    <row r="106" spans="1:20" ht="15.6" x14ac:dyDescent="0.3">
      <c r="C106" s="110"/>
      <c r="D106" s="123"/>
      <c r="E106" s="110"/>
      <c r="F106" s="113"/>
      <c r="G106" s="392"/>
      <c r="H106" s="405">
        <f>Existing_Info16[[#This Row],[Quantity]]*Existing_Info16[[#This Row],[Lumens]]</f>
        <v>0</v>
      </c>
      <c r="I106" s="114"/>
      <c r="J106" s="111"/>
      <c r="K106" s="402" t="str">
        <f>IF(OR(Existing_Info16[[#This Row],[Mounting Type Fixture/Application]]=0,Existing_Info16[[#This Row],[Mounting Type Fixture/Application]]="Choose from dropdown"),"",VLOOKUP(Existing_Info16[[#This Row],[Mounting Type Fixture/Application]],'Non-res - Ordinance Values'!$B$3:$C$10,2,FALSE))</f>
        <v/>
      </c>
      <c r="L106" s="111"/>
      <c r="M106" s="111"/>
      <c r="N106" s="251" t="str">
        <f>'Nonres - existing fixtures'!Q12</f>
        <v>Pass</v>
      </c>
      <c r="O106" s="397" t="str">
        <f>_xlfn.IFNA(_xlfn.TEXTJOIN(" ",TRUE,'Nonres - existing fixtures'!D12,'Nonres - existing fixtures'!F12,'Nonres - existing fixtures'!G12,'Nonres - existing fixtures'!J12)&amp;".","")</f>
        <v>.</v>
      </c>
    </row>
    <row r="107" spans="1:20" ht="15.6" x14ac:dyDescent="0.3">
      <c r="C107" s="110"/>
      <c r="D107" s="123"/>
      <c r="E107" s="110"/>
      <c r="F107" s="113"/>
      <c r="G107" s="392"/>
      <c r="H107" s="405">
        <f>Existing_Info16[[#This Row],[Quantity]]*Existing_Info16[[#This Row],[Lumens]]</f>
        <v>0</v>
      </c>
      <c r="I107" s="114"/>
      <c r="J107" s="111"/>
      <c r="K107" s="402" t="str">
        <f>IF(OR(Existing_Info16[[#This Row],[Mounting Type Fixture/Application]]=0,Existing_Info16[[#This Row],[Mounting Type Fixture/Application]]="Choose from dropdown"),"",VLOOKUP(Existing_Info16[[#This Row],[Mounting Type Fixture/Application]],'Non-res - Ordinance Values'!$B$3:$C$10,2,FALSE))</f>
        <v/>
      </c>
      <c r="L107" s="111"/>
      <c r="M107" s="111"/>
      <c r="N107" s="251" t="str">
        <f>'Nonres - existing fixtures'!Q13</f>
        <v>Pass</v>
      </c>
      <c r="O107" s="397" t="str">
        <f>_xlfn.IFNA(_xlfn.TEXTJOIN(" ",TRUE,'Nonres - existing fixtures'!D13,'Nonres - existing fixtures'!F13,'Nonres - existing fixtures'!G13,'Nonres - existing fixtures'!J13)&amp;".","")</f>
        <v>.</v>
      </c>
    </row>
    <row r="108" spans="1:20" ht="15.6" x14ac:dyDescent="0.3">
      <c r="C108" s="110"/>
      <c r="D108" s="123"/>
      <c r="E108" s="110"/>
      <c r="F108" s="113"/>
      <c r="G108" s="392"/>
      <c r="H108" s="405">
        <f>Existing_Info16[[#This Row],[Quantity]]*Existing_Info16[[#This Row],[Lumens]]</f>
        <v>0</v>
      </c>
      <c r="I108" s="114"/>
      <c r="J108" s="111"/>
      <c r="K108" s="402" t="str">
        <f>IF(OR(Existing_Info16[[#This Row],[Mounting Type Fixture/Application]]=0,Existing_Info16[[#This Row],[Mounting Type Fixture/Application]]="Choose from dropdown"),"",VLOOKUP(Existing_Info16[[#This Row],[Mounting Type Fixture/Application]],'Non-res - Ordinance Values'!$B$3:$C$10,2,FALSE))</f>
        <v/>
      </c>
      <c r="L108" s="111"/>
      <c r="M108" s="111"/>
      <c r="N108" s="251" t="str">
        <f>'Nonres - existing fixtures'!Q14</f>
        <v>Pass</v>
      </c>
      <c r="O108" s="397" t="str">
        <f>_xlfn.IFNA(_xlfn.TEXTJOIN(" ",TRUE,'Nonres - existing fixtures'!D14,'Nonres - existing fixtures'!F14,'Nonres - existing fixtures'!G14,'Nonres - existing fixtures'!J14)&amp;".","")</f>
        <v>.</v>
      </c>
    </row>
    <row r="109" spans="1:20" ht="15.6" x14ac:dyDescent="0.3">
      <c r="C109" s="110"/>
      <c r="D109" s="123"/>
      <c r="E109" s="110"/>
      <c r="F109" s="113"/>
      <c r="G109" s="392"/>
      <c r="H109" s="405">
        <f>Existing_Info16[[#This Row],[Quantity]]*Existing_Info16[[#This Row],[Lumens]]</f>
        <v>0</v>
      </c>
      <c r="I109" s="114"/>
      <c r="J109" s="111"/>
      <c r="K109" s="402" t="str">
        <f>IF(OR(Existing_Info16[[#This Row],[Mounting Type Fixture/Application]]=0,Existing_Info16[[#This Row],[Mounting Type Fixture/Application]]="Choose from dropdown"),"",VLOOKUP(Existing_Info16[[#This Row],[Mounting Type Fixture/Application]],'Non-res - Ordinance Values'!$B$3:$C$10,2,FALSE))</f>
        <v/>
      </c>
      <c r="L109" s="111"/>
      <c r="M109" s="111"/>
      <c r="N109" s="251" t="str">
        <f>'Nonres - existing fixtures'!Q15</f>
        <v>Pass</v>
      </c>
      <c r="O109" s="397" t="str">
        <f>_xlfn.IFNA(_xlfn.TEXTJOIN(" ",TRUE,'Nonres - existing fixtures'!D15,'Nonres - existing fixtures'!F15,'Nonres - existing fixtures'!G15,'Nonres - existing fixtures'!J15)&amp;".","")</f>
        <v>.</v>
      </c>
    </row>
    <row r="110" spans="1:20" ht="15.6" x14ac:dyDescent="0.3">
      <c r="C110" s="110"/>
      <c r="D110" s="123"/>
      <c r="E110" s="110"/>
      <c r="F110" s="113"/>
      <c r="G110" s="392"/>
      <c r="H110" s="405">
        <f>Existing_Info16[[#This Row],[Quantity]]*Existing_Info16[[#This Row],[Lumens]]</f>
        <v>0</v>
      </c>
      <c r="I110" s="114"/>
      <c r="J110" s="111"/>
      <c r="K110" s="402" t="str">
        <f>IF(OR(Existing_Info16[[#This Row],[Mounting Type Fixture/Application]]=0,Existing_Info16[[#This Row],[Mounting Type Fixture/Application]]="Choose from dropdown"),"",VLOOKUP(Existing_Info16[[#This Row],[Mounting Type Fixture/Application]],'Non-res - Ordinance Values'!$B$3:$C$10,2,FALSE))</f>
        <v/>
      </c>
      <c r="L110" s="111"/>
      <c r="M110" s="111"/>
      <c r="N110" s="251" t="str">
        <f>'Nonres - existing fixtures'!Q16</f>
        <v>Pass</v>
      </c>
      <c r="O110" s="397" t="str">
        <f>_xlfn.IFNA(_xlfn.TEXTJOIN(" ",TRUE,'Nonres - existing fixtures'!D16,'Nonres - existing fixtures'!F16,'Nonres - existing fixtures'!G16,'Nonres - existing fixtures'!J16)&amp;".","")</f>
        <v>.</v>
      </c>
    </row>
    <row r="111" spans="1:20" ht="15.6" x14ac:dyDescent="0.3">
      <c r="C111" s="116"/>
      <c r="D111" s="124"/>
      <c r="E111" s="116"/>
      <c r="F111" s="117"/>
      <c r="G111" s="394"/>
      <c r="H111" s="406">
        <f>Existing_Info16[[#This Row],[Quantity]]*Existing_Info16[[#This Row],[Lumens]]</f>
        <v>0</v>
      </c>
      <c r="I111" s="119"/>
      <c r="J111" s="118"/>
      <c r="K111" s="403" t="str">
        <f>IF(OR(Existing_Info16[[#This Row],[Mounting Type Fixture/Application]]=0,Existing_Info16[[#This Row],[Mounting Type Fixture/Application]]="Choose from dropdown"),"",VLOOKUP(Existing_Info16[[#This Row],[Mounting Type Fixture/Application]],'Non-res - Ordinance Values'!$B$3:$C$10,2,FALSE))</f>
        <v/>
      </c>
      <c r="L111" s="118"/>
      <c r="M111" s="118"/>
      <c r="N111" s="407" t="str">
        <f>'Nonres - existing fixtures'!Q17</f>
        <v>Pass</v>
      </c>
      <c r="O111" s="400" t="str">
        <f>_xlfn.IFNA(_xlfn.TEXTJOIN(" ",TRUE,'Nonres - existing fixtures'!D17,'Nonres - existing fixtures'!F17,'Nonres - existing fixtures'!G17,'Nonres - existing fixtures'!J17)&amp;".","")</f>
        <v>.</v>
      </c>
    </row>
    <row r="112" spans="1:20" ht="61.5" customHeight="1" thickBot="1" x14ac:dyDescent="0.35">
      <c r="A112" s="331"/>
      <c r="B112" s="331"/>
      <c r="C112" s="331"/>
      <c r="D112" s="331"/>
      <c r="E112" s="331"/>
      <c r="F112" s="331"/>
      <c r="G112" s="331"/>
      <c r="H112" s="331"/>
      <c r="I112" s="331"/>
      <c r="J112" s="331"/>
      <c r="K112" s="331"/>
      <c r="L112" s="331"/>
      <c r="M112" s="331"/>
      <c r="N112" s="331"/>
      <c r="O112" s="331"/>
      <c r="P112" s="331"/>
      <c r="Q112" s="331"/>
      <c r="R112" s="331"/>
      <c r="S112" s="331"/>
      <c r="T112" s="331"/>
    </row>
    <row r="113" spans="1:20" ht="72.75" customHeight="1" thickTop="1" x14ac:dyDescent="0.3">
      <c r="B113" s="168" t="s">
        <v>319</v>
      </c>
      <c r="C113" s="168"/>
    </row>
    <row r="114" spans="1:20" ht="39" customHeight="1" x14ac:dyDescent="0.3">
      <c r="C114" s="169" t="s">
        <v>124</v>
      </c>
      <c r="D114" s="304" t="s">
        <v>375</v>
      </c>
      <c r="E114" s="304" t="s">
        <v>120</v>
      </c>
      <c r="F114" s="308" t="s">
        <v>376</v>
      </c>
      <c r="G114" s="304" t="s">
        <v>69</v>
      </c>
      <c r="H114" s="304" t="s">
        <v>121</v>
      </c>
      <c r="I114" s="171" t="s">
        <v>122</v>
      </c>
      <c r="L114" s="105"/>
      <c r="M114" s="105"/>
      <c r="O114" s="155"/>
      <c r="P114" s="155"/>
    </row>
    <row r="115" spans="1:20" ht="43.2" hidden="1" customHeight="1" x14ac:dyDescent="0.3">
      <c r="C115" s="241" t="s">
        <v>313</v>
      </c>
      <c r="D115" s="120">
        <f>SUM(Existing_Info16[Total Lumens])-SUMIF(Existing_Info16[Fixture Type],'Non-res - Ordinance Values'!$B$20,Existing_Info16[Total Lumens])-SUMIF(Existing_Info16[Fixture Type],'Non-res - Ordinance Values'!$B$18,Existing_Info16[Total Lumens])</f>
        <v>0</v>
      </c>
      <c r="E115" s="239" t="s">
        <v>7</v>
      </c>
      <c r="F115" s="242">
        <f>D74</f>
        <v>0</v>
      </c>
      <c r="G115" s="239" t="s">
        <v>7</v>
      </c>
      <c r="H115" s="239" t="str">
        <f>IF(F74="PASS","PASS",IF(Table1317[[#This Row],[Proposed Parcel Analysis]]&gt;Table1317[[#This Row],[Existing Parcel Analysis]],"FAIL","ACCEPTED"))</f>
        <v>ACCEPTED</v>
      </c>
      <c r="I115" s="190" t="str">
        <f>IF(Table1317[[#This Row],[PASS/FAIL]]="FAIL","Proposed cannot exceed existing",IF(Table1317[[#This Row],[PASS/FAIL]]="PASS","Proposed parcel meets code.",""))</f>
        <v/>
      </c>
      <c r="L115" s="105"/>
      <c r="M115" s="105"/>
      <c r="O115" s="155"/>
      <c r="P115" s="155"/>
    </row>
    <row r="116" spans="1:20" ht="60" x14ac:dyDescent="0.3">
      <c r="C116" s="241" t="s">
        <v>314</v>
      </c>
      <c r="D116" s="121">
        <f>D115/D72</f>
        <v>0</v>
      </c>
      <c r="E116" s="239"/>
      <c r="F116" s="242">
        <f>F115/D72</f>
        <v>0</v>
      </c>
      <c r="G116" s="239"/>
      <c r="H116" s="239" t="str">
        <f>IF(F75="PASS","PASS",IF(Table1317[[#This Row],[Proposed Parcel Analysis]]&gt;Table1317[[#This Row],[Existing Parcel Analysis]],"FAIL","ACCEPTED"))</f>
        <v>PASS</v>
      </c>
      <c r="I116" s="190" t="str">
        <f>IF(Table1317[[#This Row],[PASS/FAIL]]="FAIL","Proposed cannot exceed existing",IF(Table1317[[#This Row],[PASS/FAIL]]="PASS","Proposed parcel meets code.",""))</f>
        <v>Proposed parcel meets code.</v>
      </c>
      <c r="L116" s="105"/>
      <c r="M116" s="105"/>
      <c r="O116" s="155"/>
      <c r="P116" s="155"/>
    </row>
    <row r="117" spans="1:20" ht="31.2" customHeight="1" x14ac:dyDescent="0.3">
      <c r="C117" s="309" t="s">
        <v>380</v>
      </c>
      <c r="D117" s="264">
        <f>SUM(Existing_Info16[Total Lumens])</f>
        <v>0</v>
      </c>
      <c r="E117" s="310" t="s">
        <v>7</v>
      </c>
      <c r="F117" s="311">
        <f>D76</f>
        <v>0</v>
      </c>
      <c r="G117" s="310" t="s">
        <v>7</v>
      </c>
      <c r="H117" s="310" t="str">
        <f>IF(F76="PASS","PASS",IF(Table1317[[#This Row],[Proposed Parcel Analysis]]&gt;Table1317[[#This Row],[Existing Parcel Analysis]],"FAIL","ACCEPTED"))</f>
        <v>PASS</v>
      </c>
      <c r="I117" s="312" t="str">
        <f>IF(Table1317[[#This Row],[PASS/FAIL]]="FAIL","Proposed cannot exceed existing",IF(Table1317[[#This Row],[PASS/FAIL]]="PASS","Proposed parcel meets code.",""))</f>
        <v>Proposed parcel meets code.</v>
      </c>
      <c r="L117" s="105"/>
      <c r="M117" s="105"/>
      <c r="O117" s="155"/>
      <c r="P117" s="155"/>
    </row>
    <row r="118" spans="1:20" ht="64.95" customHeight="1" thickBot="1" x14ac:dyDescent="0.35">
      <c r="A118" s="331"/>
      <c r="B118" s="331"/>
      <c r="C118" s="331"/>
      <c r="D118" s="331"/>
      <c r="E118" s="331"/>
      <c r="F118" s="331"/>
      <c r="G118" s="331"/>
      <c r="H118" s="331"/>
      <c r="I118" s="331"/>
      <c r="J118" s="331"/>
      <c r="K118" s="331"/>
      <c r="L118" s="331"/>
      <c r="M118" s="331"/>
      <c r="N118" s="331"/>
      <c r="O118" s="331"/>
      <c r="P118" s="331"/>
      <c r="Q118" s="331"/>
      <c r="R118" s="331"/>
      <c r="S118" s="331"/>
      <c r="T118" s="331"/>
    </row>
    <row r="119" spans="1:20" ht="34.200000000000003" customHeight="1" thickTop="1" x14ac:dyDescent="0.3">
      <c r="B119" s="332" t="s">
        <v>324</v>
      </c>
    </row>
    <row r="120" spans="1:20" ht="36" customHeight="1" x14ac:dyDescent="0.3">
      <c r="C120" s="105" t="s">
        <v>248</v>
      </c>
    </row>
    <row r="121" spans="1:20" ht="30" x14ac:dyDescent="0.3">
      <c r="C121" s="169" t="s">
        <v>198</v>
      </c>
      <c r="D121" s="187" t="s">
        <v>315</v>
      </c>
      <c r="E121" s="187" t="s">
        <v>285</v>
      </c>
      <c r="F121" s="187" t="s">
        <v>121</v>
      </c>
      <c r="G121" s="171" t="s">
        <v>122</v>
      </c>
    </row>
    <row r="122" spans="1:20" x14ac:dyDescent="0.3">
      <c r="C122" s="267" t="str">
        <f>'Non-res - Ordinance Values'!$B$25</f>
        <v>Building Entrance(s)</v>
      </c>
      <c r="D122" s="120">
        <f>SUMIF(Existing_Info16[Site Lumen Allowance Type],C122,Existing_Info16[Total Lumens])</f>
        <v>0</v>
      </c>
      <c r="E122" s="120">
        <f t="shared" ref="E122:E127" si="3">F43</f>
        <v>0</v>
      </c>
      <c r="F122" s="239" t="str">
        <f>IF(D122&gt;E122,"FAIL","PASS")</f>
        <v>PASS</v>
      </c>
      <c r="G122" s="244"/>
    </row>
    <row r="123" spans="1:20" x14ac:dyDescent="0.3">
      <c r="C123" s="267" t="str">
        <f>'Non-res - Ordinance Values'!B$26</f>
        <v>Building Facade</v>
      </c>
      <c r="D123" s="120">
        <f>SUMIF(Existing_Info16[Site Lumen Allowance Type],C123,Existing_Info16[Total Lumens])</f>
        <v>0</v>
      </c>
      <c r="E123" s="120">
        <f t="shared" si="3"/>
        <v>0</v>
      </c>
      <c r="F123" s="239" t="str">
        <f t="shared" ref="F123:F127" si="4">IF(D123&gt;E123,"FAIL","PASS")</f>
        <v>PASS</v>
      </c>
      <c r="G123" s="244"/>
    </row>
    <row r="124" spans="1:20" x14ac:dyDescent="0.3">
      <c r="C124" s="267" t="str">
        <f>'Non-res - Ordinance Values'!B$27</f>
        <v>Nighttime Service Loading</v>
      </c>
      <c r="D124" s="120">
        <f>SUMIF(Existing_Info16[Site Lumen Allowance Type],C124,Existing_Info16[Total Lumens])</f>
        <v>0</v>
      </c>
      <c r="E124" s="120">
        <f t="shared" si="3"/>
        <v>0</v>
      </c>
      <c r="F124" s="239" t="str">
        <f t="shared" si="4"/>
        <v>PASS</v>
      </c>
      <c r="G124" s="244"/>
    </row>
    <row r="125" spans="1:20" x14ac:dyDescent="0.3">
      <c r="C125" s="267" t="str">
        <f>'Non-res - Ordinance Values'!B$28</f>
        <v>Surface parking</v>
      </c>
      <c r="D125" s="120">
        <f>SUMIF(Existing_Info16[Site Lumen Allowance Type],C125,Existing_Info16[Total Lumens])</f>
        <v>0</v>
      </c>
      <c r="E125" s="120">
        <f t="shared" si="3"/>
        <v>0</v>
      </c>
      <c r="F125" s="239" t="str">
        <f t="shared" si="4"/>
        <v>PASS</v>
      </c>
      <c r="G125" s="244"/>
    </row>
    <row r="126" spans="1:20" x14ac:dyDescent="0.3">
      <c r="C126" s="267" t="str">
        <f>'Non-res - Ordinance Values'!B$29</f>
        <v>Gas Station Canopy</v>
      </c>
      <c r="D126" s="120">
        <f>SUMIF(Existing_Info16[Site Lumen Allowance Type],C126,Existing_Info16[Total Lumens])</f>
        <v>0</v>
      </c>
      <c r="E126" s="120">
        <f t="shared" si="3"/>
        <v>0</v>
      </c>
      <c r="F126" s="239" t="str">
        <f t="shared" si="4"/>
        <v>PASS</v>
      </c>
      <c r="G126" s="244"/>
    </row>
    <row r="127" spans="1:20" x14ac:dyDescent="0.3">
      <c r="C127" s="267" t="str">
        <f>'Non-res - Ordinance Values'!B$30</f>
        <v>Outdoor Dining</v>
      </c>
      <c r="D127" s="120">
        <f>SUMIF(Existing_Info16[Site Lumen Allowance Type],C127,Existing_Info16[Total Lumens])</f>
        <v>0</v>
      </c>
      <c r="E127" s="120">
        <f t="shared" si="3"/>
        <v>0</v>
      </c>
      <c r="F127" s="239" t="str">
        <f t="shared" si="4"/>
        <v>PASS</v>
      </c>
      <c r="G127" s="244"/>
    </row>
    <row r="128" spans="1:20" ht="3" customHeight="1" x14ac:dyDescent="0.3">
      <c r="C128" s="231"/>
      <c r="D128" s="232"/>
      <c r="E128" s="233"/>
      <c r="F128" s="234"/>
      <c r="G128" s="235"/>
    </row>
  </sheetData>
  <sheetProtection algorithmName="SHA-512" hashValue="3ndQzlnZVhaT38Vc5c7JNHiccyU0tgrAS6w2+PKRowTnnuWM65rsH8rrpqtwRSzPSa05SE7SczjDy1dLyliHPw==" saltValue="ukAbmQ1uIvCQs8pmWiNYcw==" spinCount="100000" sheet="1" objects="1" scenarios="1" selectLockedCells="1"/>
  <mergeCells count="30">
    <mergeCell ref="K32:N36"/>
    <mergeCell ref="J32:J35"/>
    <mergeCell ref="G36:J36"/>
    <mergeCell ref="E9:J9"/>
    <mergeCell ref="B10:D10"/>
    <mergeCell ref="E10:J10"/>
    <mergeCell ref="B9:D9"/>
    <mergeCell ref="B23:C23"/>
    <mergeCell ref="B11:D11"/>
    <mergeCell ref="E11:J11"/>
    <mergeCell ref="C19:I19"/>
    <mergeCell ref="B2:H5"/>
    <mergeCell ref="B7:D7"/>
    <mergeCell ref="E7:J7"/>
    <mergeCell ref="B8:D8"/>
    <mergeCell ref="E8:J8"/>
    <mergeCell ref="E89:G89"/>
    <mergeCell ref="C97:H97"/>
    <mergeCell ref="C52:H52"/>
    <mergeCell ref="B22:H22"/>
    <mergeCell ref="C95:H95"/>
    <mergeCell ref="H29:J29"/>
    <mergeCell ref="H25:J25"/>
    <mergeCell ref="H26:J26"/>
    <mergeCell ref="H27:J27"/>
    <mergeCell ref="H28:J28"/>
    <mergeCell ref="H30:J30"/>
    <mergeCell ref="G32:G35"/>
    <mergeCell ref="H32:H35"/>
    <mergeCell ref="I32:I35"/>
  </mergeCells>
  <phoneticPr fontId="3" type="noConversion"/>
  <conditionalFormatting sqref="A112:T130 A93:T98 A99:D111 F99:Q111">
    <cfRule type="expression" dxfId="31" priority="12">
      <formula>$B$91=1</formula>
    </cfRule>
  </conditionalFormatting>
  <conditionalFormatting sqref="C100:C111">
    <cfRule type="expression" dxfId="30" priority="365">
      <formula>$N100="Fail"</formula>
    </cfRule>
  </conditionalFormatting>
  <conditionalFormatting sqref="D26">
    <cfRule type="containsText" dxfId="29" priority="34" operator="containsText" text="Residential">
      <formula>NOT(ISERROR(SEARCH("Residential",D26)))</formula>
    </cfRule>
  </conditionalFormatting>
  <conditionalFormatting sqref="D57:D67">
    <cfRule type="expression" dxfId="27" priority="2">
      <formula>ISNUMBER(SEARCH("unapproved use of unshielded",$O57))</formula>
    </cfRule>
  </conditionalFormatting>
  <conditionalFormatting sqref="D75">
    <cfRule type="cellIs" dxfId="26" priority="29" operator="greaterThan">
      <formula>0.2</formula>
    </cfRule>
    <cfRule type="cellIs" dxfId="25" priority="28" operator="lessThanOrEqual">
      <formula>0.2</formula>
    </cfRule>
  </conditionalFormatting>
  <conditionalFormatting sqref="D76">
    <cfRule type="cellIs" dxfId="24" priority="17" operator="greaterThan">
      <formula>$D$72</formula>
    </cfRule>
    <cfRule type="cellIs" dxfId="23" priority="18" operator="lessThanOrEqual">
      <formula>$D$72</formula>
    </cfRule>
  </conditionalFormatting>
  <conditionalFormatting sqref="D116:D117">
    <cfRule type="cellIs" dxfId="22" priority="19" operator="lessThanOrEqual">
      <formula>0.2</formula>
    </cfRule>
    <cfRule type="cellIs" dxfId="21" priority="20" operator="greaterThan">
      <formula>0.2</formula>
    </cfRule>
  </conditionalFormatting>
  <conditionalFormatting sqref="E89:G89">
    <cfRule type="cellIs" dxfId="20" priority="11" operator="equal">
      <formula>"Whole parcel compliance required - do not fill out existing parcel analysis"</formula>
    </cfRule>
    <cfRule type="cellIs" dxfId="19" priority="10" operator="equal">
      <formula>"Only fill out existing parcel analysis if proposed parcel does not comply"</formula>
    </cfRule>
  </conditionalFormatting>
  <conditionalFormatting sqref="F57:F67">
    <cfRule type="expression" dxfId="18" priority="3">
      <formula>ISNUMBER(SEARCH("lumens exceed limit",$O57))</formula>
    </cfRule>
  </conditionalFormatting>
  <conditionalFormatting sqref="F72:F76 H115:H117 F122:F128 K76">
    <cfRule type="containsText" dxfId="17" priority="21" operator="containsText" text="FAIL">
      <formula>NOT(ISERROR(SEARCH("FAIL",F72)))</formula>
    </cfRule>
  </conditionalFormatting>
  <conditionalFormatting sqref="F72:F76 K76 H115:H117 F122:F128">
    <cfRule type="containsText" dxfId="16" priority="6" operator="containsText" text="ACCEPTED">
      <formula>NOT(ISERROR(SEARCH("ACCEPTED",F72)))</formula>
    </cfRule>
    <cfRule type="containsText" dxfId="15" priority="22" operator="containsText" text="PASS">
      <formula>NOT(ISERROR(SEARCH("PASS",F72)))</formula>
    </cfRule>
  </conditionalFormatting>
  <conditionalFormatting sqref="F76">
    <cfRule type="containsText" dxfId="14" priority="16" operator="containsText" text="PASS">
      <formula>NOT(ISERROR(SEARCH("PASS",F76)))</formula>
    </cfRule>
    <cfRule type="containsText" dxfId="13" priority="15" operator="containsText" text="FAIL">
      <formula>NOT(ISERROR(SEARCH("FAIL",F76)))</formula>
    </cfRule>
  </conditionalFormatting>
  <conditionalFormatting sqref="G25">
    <cfRule type="cellIs" dxfId="12" priority="35" operator="lessThan">
      <formula>0</formula>
    </cfRule>
  </conditionalFormatting>
  <conditionalFormatting sqref="H32:H33 F81:F88">
    <cfRule type="containsText" dxfId="11" priority="8" operator="containsText" text="TEMP PASS">
      <formula>NOT(ISERROR(SEARCH("TEMP PASS",F32)))</formula>
    </cfRule>
    <cfRule type="containsText" dxfId="10" priority="36" operator="containsText" text="FAIL">
      <formula>NOT(ISERROR(SEARCH("FAIL",F32)))</formula>
    </cfRule>
    <cfRule type="containsText" dxfId="9" priority="37" operator="containsText" text="PASS">
      <formula>NOT(ISERROR(SEARCH("PASS",F32)))</formula>
    </cfRule>
  </conditionalFormatting>
  <conditionalFormatting sqref="I57:I67">
    <cfRule type="expression" dxfId="8" priority="4">
      <formula>ISNUMBER(SEARCH("CCT",$O57))</formula>
    </cfRule>
  </conditionalFormatting>
  <conditionalFormatting sqref="J57:J67">
    <cfRule type="expression" dxfId="7" priority="1">
      <formula>ISNUMBER(SEARCH("unapproved use of unshielded",$O57))</formula>
    </cfRule>
  </conditionalFormatting>
  <conditionalFormatting sqref="K32:N36">
    <cfRule type="cellIs" dxfId="6" priority="7" operator="equal">
      <formula>"City of Aspen Land Use Code requires all fixtures, including existing or current, to comply with this new lighting code by XX/XX/2028. Your current lighting plan leaves fixtures remaining that must be fixed by this date."</formula>
    </cfRule>
  </conditionalFormatting>
  <conditionalFormatting sqref="L57:L67">
    <cfRule type="expression" dxfId="5" priority="5">
      <formula>ISNUMBER(SEARCH("height",$O57))</formula>
    </cfRule>
  </conditionalFormatting>
  <conditionalFormatting sqref="N57:N67">
    <cfRule type="containsText" dxfId="4" priority="26" operator="containsText" text="FAIL">
      <formula>NOT(ISERROR(SEARCH("FAIL",N57)))</formula>
    </cfRule>
    <cfRule type="containsText" dxfId="3" priority="27" operator="containsText" text="PASS">
      <formula>NOT(ISERROR(SEARCH("PASS",N57)))</formula>
    </cfRule>
    <cfRule type="containsText" dxfId="2" priority="9" operator="containsText" text="More info needed">
      <formula>NOT(ISERROR(SEARCH("More info needed",N57)))</formula>
    </cfRule>
  </conditionalFormatting>
  <conditionalFormatting sqref="N100:N111">
    <cfRule type="containsText" dxfId="1" priority="24" operator="containsText" text="fail">
      <formula>NOT(ISERROR(SEARCH("fail",N100)))</formula>
    </cfRule>
    <cfRule type="containsText" dxfId="0" priority="25" operator="containsText" text="pass">
      <formula>NOT(ISERROR(SEARCH("pass",N100)))</formula>
    </cfRule>
  </conditionalFormatting>
  <dataValidations count="6">
    <dataValidation type="list" allowBlank="1" showInputMessage="1" showErrorMessage="1" sqref="D26" xr:uid="{CE8C4FE0-820E-414A-861D-B8695D09D4BB}">
      <formula1>"Commercial,Residential - Go to Residential Tab"</formula1>
    </dataValidation>
    <dataValidation type="list" allowBlank="1" showInputMessage="1" showErrorMessage="1" sqref="D32" xr:uid="{5D5C7D69-D226-4F28-A13C-82232CA6E7AF}">
      <formula1>"Yes,No"</formula1>
    </dataValidation>
    <dataValidation type="list" allowBlank="1" showInputMessage="1" showErrorMessage="1" sqref="E58:E67" xr:uid="{C0F8A49C-82F6-446B-A13A-CD60A5AA0F56}">
      <formula1>"Proposed,Existing to Remain"</formula1>
    </dataValidation>
    <dataValidation type="list" allowBlank="1" showInputMessage="1" showErrorMessage="1" sqref="E57" xr:uid="{F26540BC-4EF6-4BB8-9C28-7411A77ABBB3}">
      <formula1>"Choose from dropdown,Proposed,Existing to Remain"</formula1>
    </dataValidation>
    <dataValidation type="list" allowBlank="1" showInputMessage="1" showErrorMessage="1" sqref="E100" xr:uid="{F4D034A1-3171-4740-B637-CFE08E10269D}">
      <formula1>"Choose from dropdown,Existing to Remain,Removed"</formula1>
    </dataValidation>
    <dataValidation type="list" allowBlank="1" showInputMessage="1" showErrorMessage="1" sqref="E101:E111" xr:uid="{5A982510-F45B-47F1-9715-C247E03B2CE2}">
      <formula1>"Existing to Remain,Removed"</formula1>
    </dataValidation>
  </dataValidations>
  <pageMargins left="0.7" right="0.7" top="0.75" bottom="0.75" header="0.3" footer="0.3"/>
  <pageSetup paperSize="3" orientation="landscape" r:id="rId1"/>
  <headerFooter>
    <oddHeader>&amp;CCITY OF ASPEN NON-RESIDENTIAL
 LIGHTING ORDINANCE COMPLIANCE FORM</oddHeader>
  </headerFooter>
  <drawing r:id="rId2"/>
  <tableParts count="8">
    <tablePart r:id="rId3"/>
    <tablePart r:id="rId4"/>
    <tablePart r:id="rId5"/>
    <tablePart r:id="rId6"/>
    <tablePart r:id="rId7"/>
    <tablePart r:id="rId8"/>
    <tablePart r:id="rId9"/>
    <tablePart r:id="rId10"/>
  </tableParts>
  <extLst>
    <ext xmlns:x14="http://schemas.microsoft.com/office/spreadsheetml/2009/9/main" uri="{78C0D931-6437-407d-A8EE-F0AAD7539E65}">
      <x14:conditionalFormattings>
        <x14:conditionalFormatting xmlns:xm="http://schemas.microsoft.com/office/excel/2006/main">
          <x14:cfRule type="expression" priority="343" id="{E967DF67-C68E-44E0-B8AA-26FBD49FFA81}">
            <xm:f>IF('NonRes Parcel Fail Analysis'!#REF!="Only Four Allowance Types Can Be Used,",TRUE,FAIL)</xm:f>
            <x14:dxf/>
          </x14:cfRule>
          <x14:cfRule type="expression" priority="342" id="{B43FB75B-E48D-4415-89C7-A0F24EFD4A97}">
            <xm:f>'NonRes Parcel Fail Analysis'!$C$9&gt;4</xm:f>
            <x14:dxf>
              <fill>
                <patternFill>
                  <bgColor rgb="FFFF0000"/>
                </patternFill>
              </fill>
            </x14:dxf>
          </x14:cfRule>
          <xm:sqref>D43:D48</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r:uid="{927AEBF0-8EED-4AD2-ACB0-603D40EFB99D}">
          <x14:formula1>
            <xm:f>'Non-res - Ordinance Values'!$B$16:$B$21</xm:f>
          </x14:formula1>
          <xm:sqref>D58:D67 D101:D111</xm:sqref>
        </x14:dataValidation>
        <x14:dataValidation type="list" allowBlank="1" showInputMessage="1" showErrorMessage="1" xr:uid="{99517D4B-3124-4FD7-9707-85069729D2D2}">
          <x14:formula1>
            <xm:f>'Res - Ordinance Values'!$B$56:$B$62</xm:f>
          </x14:formula1>
          <xm:sqref>D29</xm:sqref>
        </x14:dataValidation>
        <x14:dataValidation type="list" allowBlank="1" showInputMessage="1" showErrorMessage="1" xr:uid="{88BE0118-F35F-42CD-B687-09C7ED9C2C66}">
          <x14:formula1>
            <xm:f>'Ref - Zone Districts'!$B$4:$B$32</xm:f>
          </x14:formula1>
          <xm:sqref>D25</xm:sqref>
        </x14:dataValidation>
        <x14:dataValidation type="list" allowBlank="1" showInputMessage="1" showErrorMessage="1" xr:uid="{700B2F56-D92D-4C0A-ACA2-624990707A2A}">
          <x14:formula1>
            <xm:f>'Non-res - Ordinance Values'!$B$25:$B$33</xm:f>
          </x14:formula1>
          <xm:sqref>P43</xm:sqref>
        </x14:dataValidation>
        <x14:dataValidation type="list" allowBlank="1" showInputMessage="1" showErrorMessage="1" xr:uid="{5CF6C53C-DF1F-4E81-8A4F-443E1A44A05D}">
          <x14:formula1>
            <xm:f>'Non-res - Ordinance Values'!$B$15:$B$21</xm:f>
          </x14:formula1>
          <xm:sqref>D57 D100</xm:sqref>
        </x14:dataValidation>
        <x14:dataValidation type="list" allowBlank="1" showInputMessage="1" showErrorMessage="1" xr:uid="{24C394AB-FB23-4432-A752-823BA0195BD4}">
          <x14:formula1>
            <xm:f>'Non-res - Ordinance Values'!$B$2:$B$13</xm:f>
          </x14:formula1>
          <xm:sqref>J100 J57</xm:sqref>
        </x14:dataValidation>
        <x14:dataValidation type="list" allowBlank="1" showInputMessage="1" showErrorMessage="1" xr:uid="{0BB9E206-14B3-4075-9C3A-23BDF948E04D}">
          <x14:formula1>
            <xm:f>'Non-res - Ordinance Values'!$B$24:$B$31</xm:f>
          </x14:formula1>
          <xm:sqref>M100 M57</xm:sqref>
        </x14:dataValidation>
        <x14:dataValidation type="list" allowBlank="1" showInputMessage="1" showErrorMessage="1" xr:uid="{53E46D29-B0A2-4CCF-AF33-1B6E41E26D67}">
          <x14:formula1>
            <xm:f>'Non-res - Ordinance Values'!$B$3:$B$13</xm:f>
          </x14:formula1>
          <xm:sqref>J58:J67 J101:J111</xm:sqref>
        </x14:dataValidation>
        <x14:dataValidation type="list" allowBlank="1" showInputMessage="1" showErrorMessage="1" xr:uid="{8EFB0C5A-144A-4F8B-9617-7208D691503F}">
          <x14:formula1>
            <xm:f>'Non-res - Ordinance Values'!$B$25:$B$31</xm:f>
          </x14:formula1>
          <xm:sqref>M58:M67 M101:M111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C6279-E0EE-4A01-A3A9-AA3F558BB3A2}">
  <dimension ref="A1:A5"/>
  <sheetViews>
    <sheetView workbookViewId="0">
      <selection activeCell="N58" sqref="N58"/>
    </sheetView>
  </sheetViews>
  <sheetFormatPr defaultColWidth="9.109375" defaultRowHeight="15" x14ac:dyDescent="0.25"/>
  <cols>
    <col min="1" max="16384" width="9.109375" style="25"/>
  </cols>
  <sheetData>
    <row r="1" spans="1:1" x14ac:dyDescent="0.25">
      <c r="A1" s="25" t="s">
        <v>293</v>
      </c>
    </row>
    <row r="2" spans="1:1" x14ac:dyDescent="0.25">
      <c r="A2" s="25" t="s">
        <v>286</v>
      </c>
    </row>
    <row r="3" spans="1:1" x14ac:dyDescent="0.25">
      <c r="A3" s="25" t="s">
        <v>292</v>
      </c>
    </row>
    <row r="4" spans="1:1" x14ac:dyDescent="0.25">
      <c r="A4" s="25" t="s">
        <v>294</v>
      </c>
    </row>
    <row r="5" spans="1:1" x14ac:dyDescent="0.25">
      <c r="A5" s="25" t="s">
        <v>296</v>
      </c>
    </row>
  </sheetData>
  <sheetProtection algorithmName="SHA-512" hashValue="JSSjE2aBOmMzHIpjoQl2Va+1T3y66/A+FmdTv6diy6eJPX8N8PBKqkJOeBKir5fhq69rkDyAZUvJPx5Q+/3nIg==" saltValue="1DVu1/cujMJ0YJ2ZqQ4h7Q==" spinCount="100000" sheet="1" objects="1" scenarios="1"/>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FA8E2-9500-470B-9636-91FB49E5A89A}">
  <dimension ref="A1:H32"/>
  <sheetViews>
    <sheetView workbookViewId="0">
      <selection activeCell="F26" sqref="F26"/>
    </sheetView>
  </sheetViews>
  <sheetFormatPr defaultRowHeight="14.4" x14ac:dyDescent="0.3"/>
  <cols>
    <col min="1" max="1" width="65.44140625" bestFit="1" customWidth="1"/>
    <col min="2" max="2" width="56.44140625" customWidth="1"/>
    <col min="3" max="3" width="8.109375" bestFit="1" customWidth="1"/>
  </cols>
  <sheetData>
    <row r="1" spans="1:8" x14ac:dyDescent="0.3">
      <c r="A1" s="93" t="s">
        <v>129</v>
      </c>
    </row>
    <row r="2" spans="1:8" x14ac:dyDescent="0.3">
      <c r="A2" s="93" t="s">
        <v>98</v>
      </c>
      <c r="B2" s="93" t="s">
        <v>99</v>
      </c>
      <c r="C2" s="93" t="s">
        <v>228</v>
      </c>
      <c r="E2" s="93" t="s">
        <v>121</v>
      </c>
    </row>
    <row r="3" spans="1:8" x14ac:dyDescent="0.3">
      <c r="A3" t="s">
        <v>100</v>
      </c>
      <c r="B3" t="str">
        <f>IF('NonRes Compliance Calculator'!D76&gt;'NonRes Compliance Calculator'!D72,"Lumens Exceed Parcel Allowance,"," ")</f>
        <v xml:space="preserve"> </v>
      </c>
      <c r="E3" t="str">
        <f>IF(B3="Lumens Exceed Parcel Allowance,","FAIL","PASS")</f>
        <v>PASS</v>
      </c>
      <c r="F3">
        <f>COUNTIF(E3:E11,"FAIL")</f>
        <v>0</v>
      </c>
    </row>
    <row r="4" spans="1:8" x14ac:dyDescent="0.3">
      <c r="A4" t="s">
        <v>101</v>
      </c>
      <c r="B4" t="str">
        <f>IF('NonRes Compliance Calculator'!D75&gt;20%,"Unshielded/Partially Shielded more than 20% of total lumen allowance,","")</f>
        <v/>
      </c>
      <c r="E4" t="str">
        <f>IF(B4="Unshielded/Partially Shielded more than 20% of total lumen allowance,","FAIL","PASS")</f>
        <v>PASS</v>
      </c>
    </row>
    <row r="5" spans="1:8" x14ac:dyDescent="0.3">
      <c r="A5" t="s">
        <v>102</v>
      </c>
      <c r="B5" t="str">
        <f>IF(COUNTIF(Project_Info_Comm[Specified CCT],"&gt;3000"),"CCT too high,","")</f>
        <v/>
      </c>
      <c r="E5" t="str">
        <f>IF(B5="CCT too high,","FAIL","PASS")</f>
        <v>PASS</v>
      </c>
    </row>
    <row r="6" spans="1:8" x14ac:dyDescent="0.3">
      <c r="A6" t="s">
        <v>103</v>
      </c>
      <c r="B6" t="str">
        <f>IF(COUNTIF(Project_Info_Comm[Specified CCT],"&lt;2700"),"CCT too low,","")</f>
        <v/>
      </c>
      <c r="E6" t="str">
        <f>IF(B6="CCT too low,","FAIL","PASS")</f>
        <v>PASS</v>
      </c>
    </row>
    <row r="7" spans="1:8" x14ac:dyDescent="0.3">
      <c r="A7" t="s">
        <v>252</v>
      </c>
      <c r="B7" t="str">
        <f>IF(COUNTIF(Project_Info_Comm[PASS/FAIL/EXISTING TO REMAIN],"FAIL"),H7,"")</f>
        <v/>
      </c>
      <c r="E7" t="str">
        <f>IF(B7="A fixture is failing - reference Project Information,","FAIL","PASS")</f>
        <v>PASS</v>
      </c>
      <c r="H7" t="s">
        <v>280</v>
      </c>
    </row>
    <row r="8" spans="1:8" x14ac:dyDescent="0.3">
      <c r="A8" t="s">
        <v>104</v>
      </c>
      <c r="B8" t="str">
        <f>IF(('NonRes Compliance Calculator'!D36&gt;'NonRes Compliance Calculator'!D28),"Exceeds Maximum Light Trespass,"," ")</f>
        <v xml:space="preserve"> </v>
      </c>
      <c r="E8" t="str">
        <f>IF(B8="Exceeds Maximum Light Trespass,","FAIL","PASS")</f>
        <v>PASS</v>
      </c>
    </row>
    <row r="9" spans="1:8" x14ac:dyDescent="0.3">
      <c r="A9" s="94" t="s">
        <v>231</v>
      </c>
      <c r="B9" s="94" t="str">
        <f>IF(C9&gt;4,H9,"")</f>
        <v/>
      </c>
      <c r="C9">
        <f>COUNTIF(Allowance_Selection[Number of Type],"&gt;0")</f>
        <v>0</v>
      </c>
      <c r="E9" t="str">
        <f>IF(B9=H9,"FAIL","PASS")</f>
        <v>PASS</v>
      </c>
      <c r="H9" t="s">
        <v>284</v>
      </c>
    </row>
    <row r="10" spans="1:8" x14ac:dyDescent="0.3">
      <c r="A10" s="36" t="s">
        <v>337</v>
      </c>
      <c r="B10" t="str">
        <f>IF(AND((SUMIF(Project_Info_Comm[Proposed/Existing?],"Proposed",Project_Info_Comm[Total Lumens])/('NonRes Compliance Calculator'!D72)&gt;0.4),'NonRes Compliance Calculator'!D29="Permit required - total lumens of replaced/added fixtures &lt;40% of total site lumen allowance"), "More than 40% of lumens proposed - change project scope (C30), "," ")</f>
        <v xml:space="preserve"> </v>
      </c>
      <c r="E10" t="str">
        <f>IF(B10="More than 40% of lumens proposed - change project scope (C30), ","FAIL","PASS")</f>
        <v>PASS</v>
      </c>
    </row>
    <row r="11" spans="1:8" x14ac:dyDescent="0.3">
      <c r="A11" s="36" t="s">
        <v>355</v>
      </c>
      <c r="B11" t="str">
        <f>IF(COUNTIF('NonRes Compliance Calculator'!F81:F86,"FAIL")&gt;0,"Exceeding lumen allowance by application type, ","")</f>
        <v/>
      </c>
      <c r="E11" t="str">
        <f>IF(B11="Exceeding lumen allowance by application type, ","FAIL","PASS")</f>
        <v>PASS</v>
      </c>
    </row>
    <row r="15" spans="1:8" x14ac:dyDescent="0.3">
      <c r="A15" t="s">
        <v>249</v>
      </c>
    </row>
    <row r="16" spans="1:8" x14ac:dyDescent="0.3">
      <c r="A16" t="s">
        <v>229</v>
      </c>
      <c r="B16" t="str">
        <f>IF(C9&gt;4,"Only Four Allowance Types Can Be Used,","")</f>
        <v/>
      </c>
    </row>
    <row r="17" spans="1:3" x14ac:dyDescent="0.3">
      <c r="A17" t="s">
        <v>230</v>
      </c>
      <c r="B17" t="str">
        <f>IF(E10&lt;2,"Only Four Allowance Types Can Be Used,","")</f>
        <v/>
      </c>
    </row>
    <row r="22" spans="1:3" x14ac:dyDescent="0.3">
      <c r="A22" s="36" t="s">
        <v>337</v>
      </c>
      <c r="B22" t="str">
        <f>IF(AND((SUMIF(Project_Info_Comm[Proposed/Existing?],"Proposed",Project_Info_Comm[Lumens])/('NonRes Compliance Calculator'!D72)&gt;0.4),'NonRes Compliance Calculator'!D29="Permit required - total lumens of replaced/added fixtures &lt;40% of total site lumen allowance"), "More than 40% of lumens proposed - change project scope (C30), "," ")</f>
        <v xml:space="preserve"> </v>
      </c>
      <c r="C22" t="str">
        <f>IF(B22="More than 40% of lumens proposed - change project scope (C30), ","FAIL","PASS")</f>
        <v>PASS</v>
      </c>
    </row>
    <row r="31" spans="1:3" x14ac:dyDescent="0.3">
      <c r="B31" t="b">
        <f>AND((SUMIF(Project_Info_Comm[Proposed/Existing?],"Proposed",Project_Info_Comm[Total Lumens])/('NonRes Compliance Calculator'!D72)&gt;0.4),'NonRes Compliance Calculator'!D29="Permit required - total lumens of replaced/added fixtures &lt;40% of total site lumen allowance")</f>
        <v>0</v>
      </c>
    </row>
    <row r="32" spans="1:3" x14ac:dyDescent="0.3">
      <c r="B32" t="b">
        <f>(SUMIF(Project_Info_Comm[Proposed/Existing?],"Proposed",Project_Info_Comm[Total Lumens])/('NonRes Compliance Calculator'!D72)&gt;0.4)</f>
        <v>0</v>
      </c>
    </row>
  </sheetData>
  <phoneticPr fontId="30" type="noConversion"/>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97662-6256-4400-9381-C951F6DF9E49}">
  <dimension ref="A1:U56"/>
  <sheetViews>
    <sheetView zoomScale="85" zoomScaleNormal="85" workbookViewId="0">
      <selection activeCell="AA22" sqref="AA22"/>
    </sheetView>
  </sheetViews>
  <sheetFormatPr defaultRowHeight="14.4" x14ac:dyDescent="0.3"/>
  <cols>
    <col min="1" max="1" width="38.6640625" bestFit="1" customWidth="1"/>
    <col min="2" max="2" width="18.109375" customWidth="1"/>
    <col min="3" max="5" width="36.44140625" customWidth="1"/>
    <col min="6" max="6" width="32.33203125" customWidth="1"/>
    <col min="7" max="7" width="10.33203125" hidden="1" customWidth="1"/>
    <col min="8" max="9" width="14.109375" customWidth="1"/>
    <col min="10" max="10" width="32" hidden="1" customWidth="1"/>
    <col min="11" max="11" width="28.88671875" hidden="1" customWidth="1"/>
    <col min="12" max="12" width="30.6640625" bestFit="1" customWidth="1"/>
    <col min="13" max="13" width="19.6640625" hidden="1" customWidth="1"/>
    <col min="14" max="14" width="20.33203125" hidden="1" customWidth="1"/>
    <col min="15" max="15" width="18.6640625" hidden="1" customWidth="1"/>
    <col min="16" max="16" width="12.109375" hidden="1" customWidth="1"/>
    <col min="17" max="18" width="0" hidden="1" customWidth="1"/>
    <col min="19" max="19" width="11.6640625" customWidth="1"/>
    <col min="21" max="21" width="15.5546875" customWidth="1"/>
  </cols>
  <sheetData>
    <row r="1" spans="1:21" x14ac:dyDescent="0.3">
      <c r="A1" t="s">
        <v>190</v>
      </c>
    </row>
    <row r="2" spans="1:21" x14ac:dyDescent="0.3">
      <c r="A2" t="s">
        <v>187</v>
      </c>
    </row>
    <row r="3" spans="1:21" x14ac:dyDescent="0.3">
      <c r="A3" t="s">
        <v>186</v>
      </c>
      <c r="F3">
        <f>COUNTIF(F6:L6,"?*")</f>
        <v>0</v>
      </c>
    </row>
    <row r="5" spans="1:21" s="11" customFormat="1" x14ac:dyDescent="0.3">
      <c r="A5" s="31" t="s">
        <v>131</v>
      </c>
      <c r="B5" s="31" t="s">
        <v>182</v>
      </c>
      <c r="C5" s="32" t="s">
        <v>163</v>
      </c>
      <c r="D5" s="32" t="s">
        <v>368</v>
      </c>
      <c r="E5" s="32" t="s">
        <v>353</v>
      </c>
      <c r="F5" s="32" t="s">
        <v>188</v>
      </c>
      <c r="G5" s="32" t="s">
        <v>4</v>
      </c>
      <c r="H5" s="32" t="s">
        <v>253</v>
      </c>
      <c r="I5" s="32" t="s">
        <v>254</v>
      </c>
      <c r="J5" s="32" t="s">
        <v>148</v>
      </c>
      <c r="K5" s="67" t="s">
        <v>153</v>
      </c>
      <c r="L5" s="32" t="s">
        <v>154</v>
      </c>
      <c r="M5" s="33" t="s">
        <v>125</v>
      </c>
      <c r="N5" s="33" t="s">
        <v>126</v>
      </c>
      <c r="O5" s="33" t="s">
        <v>127</v>
      </c>
      <c r="P5" s="67" t="s">
        <v>10</v>
      </c>
      <c r="Q5" s="68" t="s">
        <v>70</v>
      </c>
      <c r="R5" s="67" t="s">
        <v>122</v>
      </c>
      <c r="S5" s="11" t="s">
        <v>121</v>
      </c>
      <c r="T5" s="67" t="s">
        <v>344</v>
      </c>
      <c r="U5" s="67" t="s">
        <v>345</v>
      </c>
    </row>
    <row r="6" spans="1:21" x14ac:dyDescent="0.3">
      <c r="A6" s="10" t="str">
        <f>'NonRes Compliance Calculator'!D57</f>
        <v>Choose from dropdown</v>
      </c>
      <c r="B6" s="10" t="str">
        <f>'NonRes Compliance Calculator'!E57</f>
        <v>Choose from dropdown</v>
      </c>
      <c r="C6" s="10">
        <f>'NonRes Compliance Calculator'!C57</f>
        <v>0</v>
      </c>
      <c r="D6" s="10" t="str">
        <f>'NonRes Compliance Calculator'!J57</f>
        <v>Choose from dropdown</v>
      </c>
      <c r="E6" s="10" t="str">
        <f>IF(AND(OR(A6='Non-res - Ordinance Values'!$B$16,A6='Non-res - Ordinance Values'!$B$17,A6='Non-res - Ordinance Values'!$B$19),OR(D6='Non-res - Ordinance Values'!$B$4,D6='Non-res - Ordinance Values'!$B$5,D6='Non-res - Ordinance Values'!$B$8,D6='Non-res - Ordinance Values'!$B$9,D6='Non-res - Ordinance Values'!$B$12)),"Unapproved use of unshielded or partially shielded fixtures, ","")</f>
        <v/>
      </c>
      <c r="F6" s="10" t="str" cm="1">
        <f t="array" ref="F6">_xlfn.IFNA(IF('NonRes Compliance Calculator'!D57='Non-res - Ordinance Values'!$B$20,"",(IF('NonRes Compliance Calculator'!F57&gt;VLOOKUP('NonRes Compliance Calculator'!D57,'Non-res - Ordinance Values'!$B$16:$F$21,_xlfn.IFS('NonRes Compliance Calculator'!$D$27="LZ1",3,'NonRes Compliance Calculator'!$D$27="LZ2",4),FALSE),"Lumens exceed limit,",""))),"")</f>
        <v/>
      </c>
      <c r="G6" s="56"/>
      <c r="H6" s="57" t="str">
        <f>IF('NonRes Compliance Calculator'!I57="","",IF('NonRes Compliance Calculator'!I57&gt;3000,"CCT too high,",""))</f>
        <v/>
      </c>
      <c r="I6" s="10" t="str">
        <f>IF('NonRes Compliance Calculator'!I57="","",IF('NonRes Compliance Calculator'!I57&lt;2700,"CCT too low,",""))</f>
        <v/>
      </c>
      <c r="J6" s="70"/>
      <c r="K6" s="56"/>
      <c r="L6" s="10" t="str">
        <f>IF('NonRes Compliance Calculator'!L57&lt;='NonRes Compliance Calculator'!K57,"","Exceeds allowed mounting height,")</f>
        <v/>
      </c>
      <c r="M6" s="65"/>
      <c r="N6" s="66"/>
      <c r="O6" s="66"/>
      <c r="S6" t="str">
        <f t="shared" ref="S6:S37" si="0">IF(COUNTIF(E6:L6,"?*")&gt;0,"Fail","Pass")</f>
        <v>Pass</v>
      </c>
      <c r="T6" t="b">
        <f>COUNTBLANK('NonRes Compliance Calculator'!C57:M57)+COUNTBLANK('NonRes Compliance Calculator'!M57)&gt;0</f>
        <v>1</v>
      </c>
      <c r="U6" t="str">
        <f>IF(Proposed_analysis9[[#This Row],[Info?]]=FALSE,Proposed_analysis9[[#This Row],[PASS/FAIL]],"More info needed")</f>
        <v>More info needed</v>
      </c>
    </row>
    <row r="7" spans="1:21" x14ac:dyDescent="0.3">
      <c r="A7" s="10">
        <f>'NonRes Compliance Calculator'!D58</f>
        <v>0</v>
      </c>
      <c r="B7" s="10">
        <f>'NonRes Compliance Calculator'!E58</f>
        <v>0</v>
      </c>
      <c r="C7" s="10">
        <f>'NonRes Compliance Calculator'!C58</f>
        <v>0</v>
      </c>
      <c r="D7" s="10">
        <f>'NonRes Compliance Calculator'!J58</f>
        <v>0</v>
      </c>
      <c r="E7" s="10" t="str">
        <f>IF(AND(OR(A7='Non-res - Ordinance Values'!$B$16,A7='Non-res - Ordinance Values'!$B$17,A7='Non-res - Ordinance Values'!$B$19),OR(D7='Non-res - Ordinance Values'!$B$4,D7='Non-res - Ordinance Values'!$B$5,D7='Non-res - Ordinance Values'!$B$8,D7='Non-res - Ordinance Values'!$B$9,D7='Non-res - Ordinance Values'!$B$12)),"Unapproved use of unshielded or partially shielded fixtures, ","")</f>
        <v/>
      </c>
      <c r="F7" s="10" t="str" cm="1">
        <f t="array" ref="F7">_xlfn.IFNA(IF('NonRes Compliance Calculator'!D58='Non-res - Ordinance Values'!$B$20,"",(IF('NonRes Compliance Calculator'!F58&gt;VLOOKUP('NonRes Compliance Calculator'!D58,'Non-res - Ordinance Values'!$B$16:$F$21,_xlfn.IFS('NonRes Compliance Calculator'!$D$27="LZ1",3,'NonRes Compliance Calculator'!$D$27="LZ2",4),FALSE),"Lumens exceed limit,",""))),"")</f>
        <v/>
      </c>
      <c r="G7" s="56"/>
      <c r="H7" s="57" t="str">
        <f>IF('NonRes Compliance Calculator'!I58="","",IF('NonRes Compliance Calculator'!I58&gt;3000,"CCT too high,",""))</f>
        <v/>
      </c>
      <c r="I7" s="10" t="str">
        <f>IF('NonRes Compliance Calculator'!I58="","",IF('NonRes Compliance Calculator'!I58&lt;2700,"CCT too low,",""))</f>
        <v/>
      </c>
      <c r="J7" s="70"/>
      <c r="K7" s="56"/>
      <c r="L7" s="10" t="str">
        <f>IF('NonRes Compliance Calculator'!L58&lt;='NonRes Compliance Calculator'!K58,"","Exceeds allowed mounting height,")</f>
        <v/>
      </c>
      <c r="M7" s="65"/>
      <c r="N7" s="66"/>
      <c r="O7" s="66"/>
      <c r="S7" t="str">
        <f t="shared" si="0"/>
        <v>Pass</v>
      </c>
      <c r="T7" t="b">
        <f>COUNTBLANK('NonRes Compliance Calculator'!C58:L58)+COUNTBLANK('NonRes Compliance Calculator'!M58)&gt;0</f>
        <v>1</v>
      </c>
      <c r="U7" t="str">
        <f>IF(Proposed_analysis9[[#This Row],[Info?]]=FALSE,Proposed_analysis9[[#This Row],[PASS/FAIL]],"More info needed")</f>
        <v>More info needed</v>
      </c>
    </row>
    <row r="8" spans="1:21" x14ac:dyDescent="0.3">
      <c r="A8" s="10">
        <f>'NonRes Compliance Calculator'!D59</f>
        <v>0</v>
      </c>
      <c r="B8" s="10">
        <f>'NonRes Compliance Calculator'!E59</f>
        <v>0</v>
      </c>
      <c r="C8" s="10">
        <f>'NonRes Compliance Calculator'!C59</f>
        <v>0</v>
      </c>
      <c r="D8" s="10">
        <f>'NonRes Compliance Calculator'!J59</f>
        <v>0</v>
      </c>
      <c r="E8" s="10" t="str">
        <f>IF(AND(OR(A8='Non-res - Ordinance Values'!$B$16,A8='Non-res - Ordinance Values'!$B$17,A8='Non-res - Ordinance Values'!$B$19),OR(D8='Non-res - Ordinance Values'!$B$4,D8='Non-res - Ordinance Values'!$B$5,D8='Non-res - Ordinance Values'!$B$8,D8='Non-res - Ordinance Values'!$B$9,D8='Non-res - Ordinance Values'!$B$12)),"Unapproved use of unshielded or partially shielded fixtures, ","")</f>
        <v/>
      </c>
      <c r="F8" s="10" t="str" cm="1">
        <f t="array" ref="F8">_xlfn.IFNA(IF('NonRes Compliance Calculator'!D59='Non-res - Ordinance Values'!$B$20,"",(IF('NonRes Compliance Calculator'!F59&gt;VLOOKUP('NonRes Compliance Calculator'!D59,'Non-res - Ordinance Values'!$B$16:$F$21,_xlfn.IFS('NonRes Compliance Calculator'!$D$27="LZ1",3,'NonRes Compliance Calculator'!$D$27="LZ2",4),FALSE),"Lumens exceed limit,",""))),"")</f>
        <v/>
      </c>
      <c r="G8" s="56"/>
      <c r="H8" s="57" t="str">
        <f>IF('NonRes Compliance Calculator'!I59="","",IF('NonRes Compliance Calculator'!I59&gt;3000,"CCT too high,",""))</f>
        <v/>
      </c>
      <c r="I8" s="10" t="str">
        <f>IF('NonRes Compliance Calculator'!I59="","",IF('NonRes Compliance Calculator'!I59&lt;2700,"CCT too low,",""))</f>
        <v/>
      </c>
      <c r="J8" s="70"/>
      <c r="K8" s="56"/>
      <c r="L8" s="10" t="str">
        <f>IF('NonRes Compliance Calculator'!L59&lt;='NonRes Compliance Calculator'!K59,"","Exceeds allowed mounting height,")</f>
        <v/>
      </c>
      <c r="M8" s="65"/>
      <c r="N8" s="66"/>
      <c r="O8" s="66"/>
      <c r="S8" t="str">
        <f t="shared" si="0"/>
        <v>Pass</v>
      </c>
      <c r="T8" t="b">
        <f>COUNTBLANK('NonRes Compliance Calculator'!C59:L59)+COUNTBLANK('NonRes Compliance Calculator'!M59)&gt;0</f>
        <v>1</v>
      </c>
      <c r="U8" t="str">
        <f>IF(Proposed_analysis9[[#This Row],[Info?]]=FALSE,Proposed_analysis9[[#This Row],[PASS/FAIL]],"More info needed")</f>
        <v>More info needed</v>
      </c>
    </row>
    <row r="9" spans="1:21" x14ac:dyDescent="0.3">
      <c r="A9" s="10">
        <f>'NonRes Compliance Calculator'!D60</f>
        <v>0</v>
      </c>
      <c r="B9" s="10">
        <f>'NonRes Compliance Calculator'!E60</f>
        <v>0</v>
      </c>
      <c r="C9" s="10">
        <f>'NonRes Compliance Calculator'!C60</f>
        <v>0</v>
      </c>
      <c r="D9" s="10">
        <f>'NonRes Compliance Calculator'!J60</f>
        <v>0</v>
      </c>
      <c r="E9" s="10" t="str">
        <f>IF(AND(OR(A9='Non-res - Ordinance Values'!$B$16,A9='Non-res - Ordinance Values'!$B$17,A9='Non-res - Ordinance Values'!$B$19),OR(D9='Non-res - Ordinance Values'!$B$4,D9='Non-res - Ordinance Values'!$B$5,D9='Non-res - Ordinance Values'!$B$8,D9='Non-res - Ordinance Values'!$B$9,D9='Non-res - Ordinance Values'!$B$12)),"Unapproved use of unshielded or partially shielded fixtures, ","")</f>
        <v/>
      </c>
      <c r="F9" s="10" t="str" cm="1">
        <f t="array" ref="F9">_xlfn.IFNA(IF('NonRes Compliance Calculator'!D60='Non-res - Ordinance Values'!$B$20,"",(IF('NonRes Compliance Calculator'!F60&gt;VLOOKUP('NonRes Compliance Calculator'!D60,'Non-res - Ordinance Values'!$B$16:$F$21,_xlfn.IFS('NonRes Compliance Calculator'!$D$27="LZ1",3,'NonRes Compliance Calculator'!$D$27="LZ2",4),FALSE),"Lumens exceed limit,",""))),"")</f>
        <v/>
      </c>
      <c r="G9" s="56"/>
      <c r="H9" s="57" t="str">
        <f>IF('NonRes Compliance Calculator'!I60="","",IF('NonRes Compliance Calculator'!I60&gt;3000,"CCT too high,",""))</f>
        <v/>
      </c>
      <c r="I9" s="10" t="str">
        <f>IF('NonRes Compliance Calculator'!I60="","",IF('NonRes Compliance Calculator'!I60&lt;2700,"CCT too low,",""))</f>
        <v/>
      </c>
      <c r="J9" s="70"/>
      <c r="K9" s="56"/>
      <c r="L9" s="10" t="str">
        <f>IF('NonRes Compliance Calculator'!L60&lt;='NonRes Compliance Calculator'!K60,"","Exceeds allowed mounting height,")</f>
        <v/>
      </c>
      <c r="M9" s="65"/>
      <c r="N9" s="66"/>
      <c r="O9" s="66"/>
      <c r="S9" t="str">
        <f t="shared" si="0"/>
        <v>Pass</v>
      </c>
      <c r="T9" t="b">
        <f>COUNTBLANK('NonRes Compliance Calculator'!C60:L60)+COUNTBLANK('NonRes Compliance Calculator'!M60)&gt;0</f>
        <v>1</v>
      </c>
      <c r="U9" t="str">
        <f>IF(Proposed_analysis9[[#This Row],[Info?]]=FALSE,Proposed_analysis9[[#This Row],[PASS/FAIL]],"More info needed")</f>
        <v>More info needed</v>
      </c>
    </row>
    <row r="10" spans="1:21" x14ac:dyDescent="0.3">
      <c r="A10" s="10">
        <f>'NonRes Compliance Calculator'!D61</f>
        <v>0</v>
      </c>
      <c r="B10" s="10">
        <f>'NonRes Compliance Calculator'!E61</f>
        <v>0</v>
      </c>
      <c r="C10" s="10">
        <f>'NonRes Compliance Calculator'!C61</f>
        <v>0</v>
      </c>
      <c r="D10" s="10">
        <f>'NonRes Compliance Calculator'!J61</f>
        <v>0</v>
      </c>
      <c r="E10" s="10" t="str">
        <f>IF(AND(OR(A10='Non-res - Ordinance Values'!$B$16,A10='Non-res - Ordinance Values'!$B$17,A10='Non-res - Ordinance Values'!$B$19),OR(D10='Non-res - Ordinance Values'!$B$4,D10='Non-res - Ordinance Values'!$B$5,D10='Non-res - Ordinance Values'!$B$8,D10='Non-res - Ordinance Values'!$B$9,D10='Non-res - Ordinance Values'!$B$12)),"Unapproved use of unshielded or partially shielded fixtures, ","")</f>
        <v/>
      </c>
      <c r="F10" s="10" t="str" cm="1">
        <f t="array" ref="F10">_xlfn.IFNA(IF('NonRes Compliance Calculator'!D61='Non-res - Ordinance Values'!$B$20,"",(IF('NonRes Compliance Calculator'!F61&gt;VLOOKUP('NonRes Compliance Calculator'!D61,'Non-res - Ordinance Values'!$B$16:$F$21,_xlfn.IFS('NonRes Compliance Calculator'!$D$27="LZ1",3,'NonRes Compliance Calculator'!$D$27="LZ2",4),FALSE),"Lumens exceed limit,",""))),"")</f>
        <v/>
      </c>
      <c r="G10" s="56"/>
      <c r="H10" s="57" t="str">
        <f>IF('NonRes Compliance Calculator'!I61="","",IF('NonRes Compliance Calculator'!I61&gt;3000,"CCT too high,",""))</f>
        <v/>
      </c>
      <c r="I10" s="10" t="str">
        <f>IF('NonRes Compliance Calculator'!I61="","",IF('NonRes Compliance Calculator'!I61&lt;2700,"CCT too low,",""))</f>
        <v/>
      </c>
      <c r="J10" s="70"/>
      <c r="K10" s="56"/>
      <c r="L10" s="10" t="str">
        <f>IF('NonRes Compliance Calculator'!L61&lt;='NonRes Compliance Calculator'!K61,"","Exceeds allowed mounting height,")</f>
        <v/>
      </c>
      <c r="M10" s="65"/>
      <c r="N10" s="66"/>
      <c r="O10" s="66"/>
      <c r="S10" t="str">
        <f t="shared" si="0"/>
        <v>Pass</v>
      </c>
      <c r="T10" t="b">
        <f>COUNTBLANK('NonRes Compliance Calculator'!C61:L61)+COUNTBLANK('NonRes Compliance Calculator'!M61)&gt;0</f>
        <v>1</v>
      </c>
      <c r="U10" t="str">
        <f>IF(Proposed_analysis9[[#This Row],[Info?]]=FALSE,Proposed_analysis9[[#This Row],[PASS/FAIL]],"More info needed")</f>
        <v>More info needed</v>
      </c>
    </row>
    <row r="11" spans="1:21" x14ac:dyDescent="0.3">
      <c r="A11" s="10">
        <f>'NonRes Compliance Calculator'!D62</f>
        <v>0</v>
      </c>
      <c r="B11" s="10">
        <f>'NonRes Compliance Calculator'!E62</f>
        <v>0</v>
      </c>
      <c r="C11" s="10">
        <f>'NonRes Compliance Calculator'!C62</f>
        <v>0</v>
      </c>
      <c r="D11" s="10">
        <f>'NonRes Compliance Calculator'!J62</f>
        <v>0</v>
      </c>
      <c r="E11" s="10" t="str">
        <f>IF(AND(OR(A11='Non-res - Ordinance Values'!$B$16,A11='Non-res - Ordinance Values'!$B$17,A11='Non-res - Ordinance Values'!$B$19),OR(D11='Non-res - Ordinance Values'!$B$4,D11='Non-res - Ordinance Values'!$B$5,D11='Non-res - Ordinance Values'!$B$8,D11='Non-res - Ordinance Values'!$B$9,D11='Non-res - Ordinance Values'!$B$12)),"Unapproved use of unshielded or partially shielded fixtures, ","")</f>
        <v/>
      </c>
      <c r="F11" s="10" t="str" cm="1">
        <f t="array" ref="F11">_xlfn.IFNA(IF('NonRes Compliance Calculator'!D62='Non-res - Ordinance Values'!$B$20,"",(IF('NonRes Compliance Calculator'!F62&gt;VLOOKUP('NonRes Compliance Calculator'!D62,'Non-res - Ordinance Values'!$B$16:$F$21,_xlfn.IFS('NonRes Compliance Calculator'!$D$27="LZ1",3,'NonRes Compliance Calculator'!$D$27="LZ2",4),FALSE),"Lumens exceed limit,",""))),"")</f>
        <v/>
      </c>
      <c r="G11" s="56"/>
      <c r="H11" s="57" t="str">
        <f>IF('NonRes Compliance Calculator'!I62="","",IF('NonRes Compliance Calculator'!I62&gt;3000,"CCT too high,",""))</f>
        <v/>
      </c>
      <c r="I11" s="10" t="str">
        <f>IF('NonRes Compliance Calculator'!I62="","",IF('NonRes Compliance Calculator'!I62&lt;2700,"CCT too low,",""))</f>
        <v/>
      </c>
      <c r="J11" s="70"/>
      <c r="K11" s="56"/>
      <c r="L11" s="10" t="str">
        <f>IF('NonRes Compliance Calculator'!L62&lt;='NonRes Compliance Calculator'!K62,"","Exceeds allowed mounting height,")</f>
        <v/>
      </c>
      <c r="M11" s="65"/>
      <c r="N11" s="66"/>
      <c r="O11" s="66"/>
      <c r="S11" t="str">
        <f t="shared" si="0"/>
        <v>Pass</v>
      </c>
      <c r="T11" t="b">
        <f>COUNTBLANK('NonRes Compliance Calculator'!C62:L62)+COUNTBLANK('NonRes Compliance Calculator'!M62)&gt;0</f>
        <v>1</v>
      </c>
      <c r="U11" t="str">
        <f>IF(Proposed_analysis9[[#This Row],[Info?]]=FALSE,Proposed_analysis9[[#This Row],[PASS/FAIL]],"More info needed")</f>
        <v>More info needed</v>
      </c>
    </row>
    <row r="12" spans="1:21" x14ac:dyDescent="0.3">
      <c r="A12" s="10">
        <f>'NonRes Compliance Calculator'!D63</f>
        <v>0</v>
      </c>
      <c r="B12" s="10">
        <f>'NonRes Compliance Calculator'!E63</f>
        <v>0</v>
      </c>
      <c r="C12" s="10">
        <f>'NonRes Compliance Calculator'!C63</f>
        <v>0</v>
      </c>
      <c r="D12" s="10">
        <f>'NonRes Compliance Calculator'!J63</f>
        <v>0</v>
      </c>
      <c r="E12" s="10" t="str">
        <f>IF(AND(OR(A12='Non-res - Ordinance Values'!$B$16,A12='Non-res - Ordinance Values'!$B$17,A12='Non-res - Ordinance Values'!$B$19),OR(D12='Non-res - Ordinance Values'!$B$4,D12='Non-res - Ordinance Values'!$B$5,D12='Non-res - Ordinance Values'!$B$8,D12='Non-res - Ordinance Values'!$B$9,D12='Non-res - Ordinance Values'!$B$12)),"Unapproved use of unshielded or partially shielded fixtures, ","")</f>
        <v/>
      </c>
      <c r="F12" s="10" t="str" cm="1">
        <f t="array" ref="F12">_xlfn.IFNA(IF('NonRes Compliance Calculator'!D63='Non-res - Ordinance Values'!$B$20,"",(IF('NonRes Compliance Calculator'!F63&gt;VLOOKUP('NonRes Compliance Calculator'!D63,'Non-res - Ordinance Values'!$B$16:$F$21,_xlfn.IFS('NonRes Compliance Calculator'!$D$27="LZ1",3,'NonRes Compliance Calculator'!$D$27="LZ2",4),FALSE),"Lumens exceed limit,",""))),"")</f>
        <v/>
      </c>
      <c r="G12" s="56"/>
      <c r="H12" s="57" t="str">
        <f>IF('NonRes Compliance Calculator'!I63="","",IF('NonRes Compliance Calculator'!I63&gt;3000,"CCT too high,",""))</f>
        <v/>
      </c>
      <c r="I12" s="10" t="str">
        <f>IF('NonRes Compliance Calculator'!I63="","",IF('NonRes Compliance Calculator'!I63&lt;2700,"CCT too low,",""))</f>
        <v/>
      </c>
      <c r="J12" s="70"/>
      <c r="K12" s="56"/>
      <c r="L12" s="10" t="str">
        <f>IF('NonRes Compliance Calculator'!L63&lt;='NonRes Compliance Calculator'!K63,"","Exceeds allowed mounting height,")</f>
        <v/>
      </c>
      <c r="M12" s="65"/>
      <c r="N12" s="66"/>
      <c r="O12" s="66"/>
      <c r="S12" t="str">
        <f t="shared" si="0"/>
        <v>Pass</v>
      </c>
      <c r="T12" t="b">
        <f>COUNTBLANK('NonRes Compliance Calculator'!C63:L63)+COUNTBLANK('NonRes Compliance Calculator'!M63)&gt;0</f>
        <v>1</v>
      </c>
      <c r="U12" t="str">
        <f>IF(Proposed_analysis9[[#This Row],[Info?]]=FALSE,Proposed_analysis9[[#This Row],[PASS/FAIL]],"More info needed")</f>
        <v>More info needed</v>
      </c>
    </row>
    <row r="13" spans="1:21" x14ac:dyDescent="0.3">
      <c r="A13" s="10">
        <f>'NonRes Compliance Calculator'!D64</f>
        <v>0</v>
      </c>
      <c r="B13" s="10">
        <f>'NonRes Compliance Calculator'!E64</f>
        <v>0</v>
      </c>
      <c r="C13" s="10">
        <f>'NonRes Compliance Calculator'!C64</f>
        <v>0</v>
      </c>
      <c r="D13" s="10">
        <f>'NonRes Compliance Calculator'!J64</f>
        <v>0</v>
      </c>
      <c r="E13" s="10" t="str">
        <f>IF(AND(OR(A13='Non-res - Ordinance Values'!$B$16,A13='Non-res - Ordinance Values'!$B$17,A13='Non-res - Ordinance Values'!$B$19),OR(D13='Non-res - Ordinance Values'!$B$4,D13='Non-res - Ordinance Values'!$B$5,D13='Non-res - Ordinance Values'!$B$8,D13='Non-res - Ordinance Values'!$B$9,D13='Non-res - Ordinance Values'!$B$12)),"Unapproved use of unshielded or partially shielded fixtures, ","")</f>
        <v/>
      </c>
      <c r="F13" s="10" t="str" cm="1">
        <f t="array" ref="F13">_xlfn.IFNA(IF('NonRes Compliance Calculator'!D64='Non-res - Ordinance Values'!$B$20,"",(IF('NonRes Compliance Calculator'!F64&gt;VLOOKUP('NonRes Compliance Calculator'!D64,'Non-res - Ordinance Values'!$B$16:$F$21,_xlfn.IFS('NonRes Compliance Calculator'!$D$27="LZ1",3,'NonRes Compliance Calculator'!$D$27="LZ2",4),FALSE),"Lumens exceed limit,",""))),"")</f>
        <v/>
      </c>
      <c r="G13" s="56"/>
      <c r="H13" s="57" t="str">
        <f>IF('NonRes Compliance Calculator'!I64="","",IF('NonRes Compliance Calculator'!I64&gt;3000,"CCT too high,",""))</f>
        <v/>
      </c>
      <c r="I13" s="10" t="str">
        <f>IF('NonRes Compliance Calculator'!I64="","",IF('NonRes Compliance Calculator'!I64&lt;2700,"CCT too low,",""))</f>
        <v/>
      </c>
      <c r="J13" s="70"/>
      <c r="K13" s="56"/>
      <c r="L13" s="10" t="str">
        <f>IF('NonRes Compliance Calculator'!L64&lt;='NonRes Compliance Calculator'!K64,"","Exceeds allowed mounting height,")</f>
        <v/>
      </c>
      <c r="M13" s="65"/>
      <c r="N13" s="66"/>
      <c r="O13" s="66"/>
      <c r="S13" t="str">
        <f t="shared" si="0"/>
        <v>Pass</v>
      </c>
      <c r="T13" t="b">
        <f>COUNTBLANK('NonRes Compliance Calculator'!C64:L64)+COUNTBLANK('NonRes Compliance Calculator'!M64)&gt;0</f>
        <v>1</v>
      </c>
      <c r="U13" t="str">
        <f>IF(Proposed_analysis9[[#This Row],[Info?]]=FALSE,Proposed_analysis9[[#This Row],[PASS/FAIL]],"More info needed")</f>
        <v>More info needed</v>
      </c>
    </row>
    <row r="14" spans="1:21" x14ac:dyDescent="0.3">
      <c r="A14" s="10">
        <f>'NonRes Compliance Calculator'!D65</f>
        <v>0</v>
      </c>
      <c r="B14" s="10">
        <f>'NonRes Compliance Calculator'!E65</f>
        <v>0</v>
      </c>
      <c r="C14" s="10">
        <f>'NonRes Compliance Calculator'!C65</f>
        <v>0</v>
      </c>
      <c r="D14" s="10">
        <f>'NonRes Compliance Calculator'!J65</f>
        <v>0</v>
      </c>
      <c r="E14" s="10" t="str">
        <f>IF(AND(OR(A14='Non-res - Ordinance Values'!$B$16,A14='Non-res - Ordinance Values'!$B$17,A14='Non-res - Ordinance Values'!$B$19),OR(D14='Non-res - Ordinance Values'!$B$4,D14='Non-res - Ordinance Values'!$B$5,D14='Non-res - Ordinance Values'!$B$8,D14='Non-res - Ordinance Values'!$B$9,D14='Non-res - Ordinance Values'!$B$12)),"Unapproved use of unshielded or partially shielded fixtures, ","")</f>
        <v/>
      </c>
      <c r="F14" s="10" t="str" cm="1">
        <f t="array" ref="F14">_xlfn.IFNA(IF('NonRes Compliance Calculator'!D65='Non-res - Ordinance Values'!$B$20,"",(IF('NonRes Compliance Calculator'!F65&gt;VLOOKUP('NonRes Compliance Calculator'!D65,'Non-res - Ordinance Values'!$B$16:$F$21,_xlfn.IFS('NonRes Compliance Calculator'!$D$27="LZ1",3,'NonRes Compliance Calculator'!$D$27="LZ2",4),FALSE),"Lumens exceed limit,",""))),"")</f>
        <v/>
      </c>
      <c r="G14" s="56"/>
      <c r="H14" s="57" t="str">
        <f>IF('NonRes Compliance Calculator'!I65="","",IF('NonRes Compliance Calculator'!I65&gt;3000,"CCT too high,",""))</f>
        <v/>
      </c>
      <c r="I14" s="10" t="str">
        <f>IF('NonRes Compliance Calculator'!I65="","",IF('NonRes Compliance Calculator'!I65&lt;2700,"CCT too low,",""))</f>
        <v/>
      </c>
      <c r="J14" s="70"/>
      <c r="K14" s="56"/>
      <c r="L14" s="10" t="str">
        <f>IF('NonRes Compliance Calculator'!L65&lt;='NonRes Compliance Calculator'!K65,"","Exceeds allowed mounting height,")</f>
        <v/>
      </c>
      <c r="M14" s="65"/>
      <c r="N14" s="66"/>
      <c r="O14" s="66"/>
      <c r="S14" t="str">
        <f t="shared" si="0"/>
        <v>Pass</v>
      </c>
      <c r="T14" t="b">
        <f>COUNTBLANK('NonRes Compliance Calculator'!C65:L65)+COUNTBLANK('NonRes Compliance Calculator'!M65)&gt;0</f>
        <v>1</v>
      </c>
      <c r="U14" t="str">
        <f>IF(Proposed_analysis9[[#This Row],[Info?]]=FALSE,Proposed_analysis9[[#This Row],[PASS/FAIL]],"More info needed")</f>
        <v>More info needed</v>
      </c>
    </row>
    <row r="15" spans="1:21" x14ac:dyDescent="0.3">
      <c r="A15" s="10">
        <f>'NonRes Compliance Calculator'!D66</f>
        <v>0</v>
      </c>
      <c r="B15" s="10">
        <f>'NonRes Compliance Calculator'!E66</f>
        <v>0</v>
      </c>
      <c r="C15" s="10">
        <f>'NonRes Compliance Calculator'!C66</f>
        <v>0</v>
      </c>
      <c r="D15" s="10">
        <f>'NonRes Compliance Calculator'!J66</f>
        <v>0</v>
      </c>
      <c r="E15" s="10" t="str">
        <f>IF(AND(OR(A15='Non-res - Ordinance Values'!$B$16,A15='Non-res - Ordinance Values'!$B$17,A15='Non-res - Ordinance Values'!$B$19),OR(D15='Non-res - Ordinance Values'!$B$4,D15='Non-res - Ordinance Values'!$B$5,D15='Non-res - Ordinance Values'!$B$8,D15='Non-res - Ordinance Values'!$B$9,D15='Non-res - Ordinance Values'!$B$12)),"Unapproved use of unshielded or partially shielded fixtures, ","")</f>
        <v/>
      </c>
      <c r="F15" s="10" t="str" cm="1">
        <f t="array" ref="F15">_xlfn.IFNA(IF('NonRes Compliance Calculator'!D66='Non-res - Ordinance Values'!$B$20,"",(IF('NonRes Compliance Calculator'!F66&gt;VLOOKUP('NonRes Compliance Calculator'!D66,'Non-res - Ordinance Values'!$B$16:$F$21,_xlfn.IFS('NonRes Compliance Calculator'!$D$27="LZ1",3,'NonRes Compliance Calculator'!$D$27="LZ2",4),FALSE),"Lumens exceed limit,",""))),"")</f>
        <v/>
      </c>
      <c r="G15" s="56"/>
      <c r="H15" s="57" t="str">
        <f>IF('NonRes Compliance Calculator'!I66="","",IF('NonRes Compliance Calculator'!I66&gt;3000,"CCT too high,",""))</f>
        <v/>
      </c>
      <c r="I15" s="10" t="str">
        <f>IF('NonRes Compliance Calculator'!I66="","",IF('NonRes Compliance Calculator'!I66&lt;2700,"CCT too low,",""))</f>
        <v/>
      </c>
      <c r="J15" s="70"/>
      <c r="K15" s="56"/>
      <c r="L15" s="10" t="str">
        <f>IF('NonRes Compliance Calculator'!L66&lt;='NonRes Compliance Calculator'!K66,"","Exceeds allowed mounting height,")</f>
        <v/>
      </c>
      <c r="M15" s="65"/>
      <c r="N15" s="66"/>
      <c r="O15" s="66"/>
      <c r="S15" t="str">
        <f t="shared" si="0"/>
        <v>Pass</v>
      </c>
      <c r="T15" t="b">
        <f>COUNTBLANK('NonRes Compliance Calculator'!C66:L66)+COUNTBLANK('NonRes Compliance Calculator'!M66)&gt;0</f>
        <v>1</v>
      </c>
      <c r="U15" t="str">
        <f>IF(Proposed_analysis9[[#This Row],[Info?]]=FALSE,Proposed_analysis9[[#This Row],[PASS/FAIL]],"More info needed")</f>
        <v>More info needed</v>
      </c>
    </row>
    <row r="16" spans="1:21" x14ac:dyDescent="0.3">
      <c r="A16" s="10">
        <f>'NonRes Compliance Calculator'!D67</f>
        <v>0</v>
      </c>
      <c r="B16" s="10">
        <f>'NonRes Compliance Calculator'!E67</f>
        <v>0</v>
      </c>
      <c r="C16" s="10">
        <f>'NonRes Compliance Calculator'!C67</f>
        <v>0</v>
      </c>
      <c r="D16" s="10">
        <f>'NonRes Compliance Calculator'!J67</f>
        <v>0</v>
      </c>
      <c r="E16" s="10" t="str">
        <f>IF(AND(OR(A16='Non-res - Ordinance Values'!$B$16,A16='Non-res - Ordinance Values'!$B$17,A16='Non-res - Ordinance Values'!$B$19),OR(D16='Non-res - Ordinance Values'!$B$4,D16='Non-res - Ordinance Values'!$B$5,D16='Non-res - Ordinance Values'!$B$8,D16='Non-res - Ordinance Values'!$B$9,D16='Non-res - Ordinance Values'!$B$12)),"Unapproved use of unshielded or partially shielded fixtures, ","")</f>
        <v/>
      </c>
      <c r="F16" s="10" t="str" cm="1">
        <f t="array" ref="F16">_xlfn.IFNA(IF('NonRes Compliance Calculator'!D67='Non-res - Ordinance Values'!$B$20,"",(IF('NonRes Compliance Calculator'!F67&gt;VLOOKUP('NonRes Compliance Calculator'!D67,'Non-res - Ordinance Values'!$B$16:$F$21,_xlfn.IFS('NonRes Compliance Calculator'!$D$27="LZ1",3,'NonRes Compliance Calculator'!$D$27="LZ2",4),FALSE),"Lumens exceed limit,",""))),"")</f>
        <v/>
      </c>
      <c r="G16" s="56"/>
      <c r="H16" s="57" t="str">
        <f>IF('NonRes Compliance Calculator'!I67="","",IF('NonRes Compliance Calculator'!I67&gt;3000,"CCT too high,",""))</f>
        <v/>
      </c>
      <c r="I16" s="10" t="str">
        <f>IF('NonRes Compliance Calculator'!I67="","",IF('NonRes Compliance Calculator'!I67&lt;2700,"CCT too low,",""))</f>
        <v/>
      </c>
      <c r="J16" s="70"/>
      <c r="K16" s="56"/>
      <c r="L16" s="10" t="str">
        <f>IF('NonRes Compliance Calculator'!L67&lt;='NonRes Compliance Calculator'!K67,"","Exceeds allowed mounting height,")</f>
        <v/>
      </c>
      <c r="M16" s="65"/>
      <c r="N16" s="66"/>
      <c r="O16" s="66"/>
      <c r="S16" t="str">
        <f t="shared" si="0"/>
        <v>Pass</v>
      </c>
      <c r="T16" t="b">
        <f>COUNTBLANK('NonRes Compliance Calculator'!C67:L67)+COUNTBLANK('NonRes Compliance Calculator'!M67)&gt;0</f>
        <v>1</v>
      </c>
      <c r="U16" t="str">
        <f>IF(Proposed_analysis9[[#This Row],[Info?]]=FALSE,Proposed_analysis9[[#This Row],[PASS/FAIL]],"More info needed")</f>
        <v>More info needed</v>
      </c>
    </row>
    <row r="17" spans="1:21" x14ac:dyDescent="0.3">
      <c r="A17" s="10">
        <f>'NonRes Compliance Calculator'!D68</f>
        <v>0</v>
      </c>
      <c r="B17" s="10">
        <f>'NonRes Compliance Calculator'!E68</f>
        <v>0</v>
      </c>
      <c r="C17" s="10">
        <f>'NonRes Compliance Calculator'!C68</f>
        <v>0</v>
      </c>
      <c r="D17" s="10">
        <f>'NonRes Compliance Calculator'!J68</f>
        <v>0</v>
      </c>
      <c r="E17" s="10" t="str">
        <f>IF(AND(OR(A17='Non-res - Ordinance Values'!$B$16,A17='Non-res - Ordinance Values'!$B$17,A17='Non-res - Ordinance Values'!$B$19),OR(D17='Non-res - Ordinance Values'!$B$4,D17='Non-res - Ordinance Values'!$B$5,D17='Non-res - Ordinance Values'!$B$8,D17='Non-res - Ordinance Values'!$B$9,D17='Non-res - Ordinance Values'!$B$12)),"Unapproved use of unshielded or partially shielded fixtures, ","")</f>
        <v/>
      </c>
      <c r="F17" s="10" t="str" cm="1">
        <f t="array" ref="F17">_xlfn.IFNA(IF('NonRes Compliance Calculator'!D68='Non-res - Ordinance Values'!$B$20,"",(IF('NonRes Compliance Calculator'!F68&gt;VLOOKUP('NonRes Compliance Calculator'!D68,'Non-res - Ordinance Values'!$B$16:$F$21,_xlfn.IFS('NonRes Compliance Calculator'!$D$27="LZ1",3,'NonRes Compliance Calculator'!$D$27="LZ2",4),FALSE),"Lumens exceed limit,",""))),"")</f>
        <v/>
      </c>
      <c r="G17" s="56"/>
      <c r="H17" s="57" t="str">
        <f>IF('NonRes Compliance Calculator'!I68="","",IF('NonRes Compliance Calculator'!I68&gt;3000,"CCT too high,",""))</f>
        <v/>
      </c>
      <c r="I17" s="10" t="str">
        <f>IF('NonRes Compliance Calculator'!I68="","",IF('NonRes Compliance Calculator'!I68&lt;2700,"CCT too low,",""))</f>
        <v/>
      </c>
      <c r="J17" s="70"/>
      <c r="K17" s="56"/>
      <c r="L17" s="10" t="str">
        <f>IF('NonRes Compliance Calculator'!L68&lt;='NonRes Compliance Calculator'!K68,"","Exceeds allowed mounting height,")</f>
        <v/>
      </c>
      <c r="M17" s="65"/>
      <c r="N17" s="66"/>
      <c r="O17" s="66"/>
      <c r="S17" t="str">
        <f t="shared" si="0"/>
        <v>Pass</v>
      </c>
      <c r="T17" t="b">
        <f>COUNTBLANK('NonRes Compliance Calculator'!C68:L68)+COUNTBLANK('NonRes Compliance Calculator'!P68)&gt;0</f>
        <v>1</v>
      </c>
      <c r="U17" t="str">
        <f>IF(Proposed_analysis9[[#This Row],[Info?]]=FALSE,Proposed_analysis9[[#This Row],[PASS/FAIL]],"More info needed")</f>
        <v>More info needed</v>
      </c>
    </row>
    <row r="18" spans="1:21" x14ac:dyDescent="0.3">
      <c r="A18" s="10">
        <f>'NonRes Compliance Calculator'!D69</f>
        <v>0</v>
      </c>
      <c r="B18" s="10">
        <f>'NonRes Compliance Calculator'!E69</f>
        <v>0</v>
      </c>
      <c r="C18" s="10">
        <f>'NonRes Compliance Calculator'!C69</f>
        <v>0</v>
      </c>
      <c r="D18" s="10" t="e">
        <f>'NonRes Compliance Calculator'!#REF!</f>
        <v>#REF!</v>
      </c>
      <c r="E18" s="10" t="e">
        <f>IF(AND(OR(A18='Non-res - Ordinance Values'!$B$16,A18='Non-res - Ordinance Values'!$B$17,A18='Non-res - Ordinance Values'!$B$19),OR(D18='Non-res - Ordinance Values'!$B$4,D18='Non-res - Ordinance Values'!$B$5,D18='Non-res - Ordinance Values'!$B$8,D18='Non-res - Ordinance Values'!$B$9,D18='Non-res - Ordinance Values'!$B$12)),"Unapproved use of unshielded or partially shielded fixtures, ","")</f>
        <v>#REF!</v>
      </c>
      <c r="F18" s="10" t="str" cm="1">
        <f t="array" ref="F18">_xlfn.IFNA(IF('NonRes Compliance Calculator'!D69='Non-res - Ordinance Values'!$B$20,"",(IF('NonRes Compliance Calculator'!F69&gt;VLOOKUP('NonRes Compliance Calculator'!D69,'Non-res - Ordinance Values'!$B$16:$F$21,_xlfn.IFS('NonRes Compliance Calculator'!$D$27="LZ1",3,'NonRes Compliance Calculator'!$D$27="LZ2",4),FALSE),"Lumens exceed limit,",""))),"")</f>
        <v/>
      </c>
      <c r="G18" s="56"/>
      <c r="H18" s="57" t="str">
        <f>IF('NonRes Compliance Calculator'!I69="","",IF('NonRes Compliance Calculator'!I69&gt;3000,"CCT too high,",""))</f>
        <v/>
      </c>
      <c r="I18" s="10" t="str">
        <f>IF('NonRes Compliance Calculator'!I69="","",IF('NonRes Compliance Calculator'!I69&lt;2700,"CCT too low,",""))</f>
        <v/>
      </c>
      <c r="J18" s="70"/>
      <c r="K18" s="56"/>
      <c r="L18" s="10" t="str">
        <f>IF('NonRes Compliance Calculator'!L69&lt;='NonRes Compliance Calculator'!K69,"","Exceeds allowed mounting height,")</f>
        <v/>
      </c>
      <c r="M18" s="65"/>
      <c r="N18" s="66"/>
      <c r="O18" s="66"/>
      <c r="S18" t="str">
        <f t="shared" si="0"/>
        <v>Pass</v>
      </c>
      <c r="T18" t="b">
        <f>COUNTBLANK('NonRes Compliance Calculator'!C69:L69)+COUNTBLANK('NonRes Compliance Calculator'!P69)&gt;0</f>
        <v>1</v>
      </c>
      <c r="U18" t="str">
        <f>IF(Proposed_analysis9[[#This Row],[Info?]]=FALSE,Proposed_analysis9[[#This Row],[PASS/FAIL]],"More info needed")</f>
        <v>More info needed</v>
      </c>
    </row>
    <row r="19" spans="1:21" x14ac:dyDescent="0.3">
      <c r="A19" s="10">
        <f>'NonRes Compliance Calculator'!D70</f>
        <v>0</v>
      </c>
      <c r="B19" s="10">
        <f>'NonRes Compliance Calculator'!E70</f>
        <v>0</v>
      </c>
      <c r="C19" s="10">
        <f>'NonRes Compliance Calculator'!C70</f>
        <v>0</v>
      </c>
      <c r="D19" s="10">
        <f>'NonRes Compliance Calculator'!J69</f>
        <v>0</v>
      </c>
      <c r="E19" s="10" t="str">
        <f>IF(AND(OR(A19='Non-res - Ordinance Values'!$B$16,A19='Non-res - Ordinance Values'!$B$17,A19='Non-res - Ordinance Values'!$B$19),OR(D19='Non-res - Ordinance Values'!$B$4,D19='Non-res - Ordinance Values'!$B$5,D19='Non-res - Ordinance Values'!$B$8,D19='Non-res - Ordinance Values'!$B$9,D19='Non-res - Ordinance Values'!$B$12)),"Unapproved use of unshielded or partially shielded fixtures, ","")</f>
        <v/>
      </c>
      <c r="F19" s="10" t="str" cm="1">
        <f t="array" ref="F19">_xlfn.IFNA(IF('NonRes Compliance Calculator'!D70='Non-res - Ordinance Values'!$B$20,"",(IF('NonRes Compliance Calculator'!F70&gt;VLOOKUP('NonRes Compliance Calculator'!D70,'Non-res - Ordinance Values'!$B$16:$F$21,_xlfn.IFS('NonRes Compliance Calculator'!$D$27="LZ1",3,'NonRes Compliance Calculator'!$D$27="LZ2",4),FALSE),"Lumens exceed limit,",""))),"")</f>
        <v/>
      </c>
      <c r="G19" s="56"/>
      <c r="H19" s="57" t="str">
        <f>IF('NonRes Compliance Calculator'!I70="","",IF('NonRes Compliance Calculator'!I70&gt;3000,"CCT too high,",""))</f>
        <v/>
      </c>
      <c r="I19" s="10" t="str">
        <f>IF('NonRes Compliance Calculator'!I70="","",IF('NonRes Compliance Calculator'!I70&lt;2700,"CCT too low,",""))</f>
        <v/>
      </c>
      <c r="J19" s="70"/>
      <c r="K19" s="56"/>
      <c r="L19" s="10" t="str">
        <f>IF('NonRes Compliance Calculator'!L70&lt;='NonRes Compliance Calculator'!K70,"","Exceeds allowed mounting height,")</f>
        <v/>
      </c>
      <c r="M19" s="65"/>
      <c r="N19" s="66"/>
      <c r="O19" s="66"/>
      <c r="S19" t="str">
        <f t="shared" si="0"/>
        <v>Pass</v>
      </c>
      <c r="T19" t="b">
        <f>COUNTBLANK('NonRes Compliance Calculator'!C70:L70)+COUNTBLANK('NonRes Compliance Calculator'!P70)&gt;0</f>
        <v>1</v>
      </c>
      <c r="U19" t="str">
        <f>IF(Proposed_analysis9[[#This Row],[Info?]]=FALSE,Proposed_analysis9[[#This Row],[PASS/FAIL]],"More info needed")</f>
        <v>More info needed</v>
      </c>
    </row>
    <row r="20" spans="1:21" x14ac:dyDescent="0.3">
      <c r="A20" s="10" t="str">
        <f>'NonRes Compliance Calculator'!D71</f>
        <v>Data</v>
      </c>
      <c r="B20" s="10" t="str">
        <f>'NonRes Compliance Calculator'!E71</f>
        <v>Unit</v>
      </c>
      <c r="C20" s="10" t="str">
        <f>'NonRes Compliance Calculator'!C71</f>
        <v>Description</v>
      </c>
      <c r="D20" s="10">
        <f>'NonRes Compliance Calculator'!J70</f>
        <v>0</v>
      </c>
      <c r="E20" s="10" t="str">
        <f>IF(AND(OR(A20='Non-res - Ordinance Values'!$B$16,A20='Non-res - Ordinance Values'!$B$17,A20='Non-res - Ordinance Values'!$B$19),OR(D20='Non-res - Ordinance Values'!$B$4,D20='Non-res - Ordinance Values'!$B$5,D20='Non-res - Ordinance Values'!$B$8,D20='Non-res - Ordinance Values'!$B$9,D20='Non-res - Ordinance Values'!$B$12)),"Unapproved use of unshielded or partially shielded fixtures, ","")</f>
        <v/>
      </c>
      <c r="F20" s="10" t="str" cm="1">
        <f t="array" ref="F20">_xlfn.IFNA(IF('NonRes Compliance Calculator'!D71='Non-res - Ordinance Values'!$B$20,"",(IF('NonRes Compliance Calculator'!F71&gt;VLOOKUP('NonRes Compliance Calculator'!D71,'Non-res - Ordinance Values'!$B$16:$F$21,_xlfn.IFS('NonRes Compliance Calculator'!$D$27="LZ1",3,'NonRes Compliance Calculator'!$D$27="LZ2",4),FALSE),"Lumens exceed limit,",""))),"")</f>
        <v/>
      </c>
      <c r="G20" s="56"/>
      <c r="H20" s="57" t="str">
        <f>IF('NonRes Compliance Calculator'!I71="","",IF('NonRes Compliance Calculator'!I71&gt;3000,"CCT too high,",""))</f>
        <v/>
      </c>
      <c r="I20" s="10" t="str">
        <f>IF('NonRes Compliance Calculator'!I71="","",IF('NonRes Compliance Calculator'!I71&lt;2700,"CCT too low,",""))</f>
        <v/>
      </c>
      <c r="J20" s="70"/>
      <c r="K20" s="56"/>
      <c r="L20" s="10" t="str">
        <f>IF('NonRes Compliance Calculator'!L71&lt;='NonRes Compliance Calculator'!K71,"","Exceeds allowed mounting height,")</f>
        <v/>
      </c>
      <c r="M20" s="65"/>
      <c r="N20" s="66"/>
      <c r="O20" s="66"/>
      <c r="S20" t="str">
        <f t="shared" si="0"/>
        <v>Pass</v>
      </c>
      <c r="T20" t="b">
        <f>COUNTBLANK('NonRes Compliance Calculator'!C71:L71)+COUNTBLANK('NonRes Compliance Calculator'!P71)&gt;0</f>
        <v>1</v>
      </c>
      <c r="U20" t="str">
        <f>IF(Proposed_analysis9[[#This Row],[Info?]]=FALSE,Proposed_analysis9[[#This Row],[PASS/FAIL]],"More info needed")</f>
        <v>More info needed</v>
      </c>
    </row>
    <row r="21" spans="1:21" x14ac:dyDescent="0.3">
      <c r="A21" s="10">
        <f>'NonRes Compliance Calculator'!D72</f>
        <v>1</v>
      </c>
      <c r="B21" s="10" t="str">
        <f>'NonRes Compliance Calculator'!E72</f>
        <v>lumens</v>
      </c>
      <c r="C21" s="10" t="str">
        <f>'NonRes Compliance Calculator'!C72</f>
        <v>Total lumen allowance</v>
      </c>
      <c r="D21" s="10">
        <f>'NonRes Compliance Calculator'!J71</f>
        <v>0</v>
      </c>
      <c r="E21" s="10" t="str">
        <f>IF(AND(OR(A21='Non-res - Ordinance Values'!$B$16,A21='Non-res - Ordinance Values'!$B$17,A21='Non-res - Ordinance Values'!$B$19),OR(D21='Non-res - Ordinance Values'!$B$4,D21='Non-res - Ordinance Values'!$B$5,D21='Non-res - Ordinance Values'!$B$8,D21='Non-res - Ordinance Values'!$B$9,D21='Non-res - Ordinance Values'!$B$12)),"Unapproved use of unshielded or partially shielded fixtures, ","")</f>
        <v/>
      </c>
      <c r="F21" s="10" t="str" cm="1">
        <f t="array" ref="F21">_xlfn.IFNA(IF('NonRes Compliance Calculator'!D72='Non-res - Ordinance Values'!$B$20,"",(IF('NonRes Compliance Calculator'!F72&gt;VLOOKUP('NonRes Compliance Calculator'!D72,'Non-res - Ordinance Values'!$B$16:$F$21,_xlfn.IFS('NonRes Compliance Calculator'!$D$27="LZ1",3,'NonRes Compliance Calculator'!$D$27="LZ2",4),FALSE),"Lumens exceed limit,",""))),"")</f>
        <v/>
      </c>
      <c r="G21" s="56"/>
      <c r="H21" s="57" t="str">
        <f>IF('NonRes Compliance Calculator'!I72="","",IF('NonRes Compliance Calculator'!I72&gt;3000,"CCT too high,",""))</f>
        <v/>
      </c>
      <c r="I21" s="10" t="str">
        <f>IF('NonRes Compliance Calculator'!I72="","",IF('NonRes Compliance Calculator'!I72&lt;2700,"CCT too low,",""))</f>
        <v/>
      </c>
      <c r="J21" s="70"/>
      <c r="K21" s="56"/>
      <c r="L21" s="10" t="str">
        <f>IF('NonRes Compliance Calculator'!L72&lt;='NonRes Compliance Calculator'!K72,"","Exceeds allowed mounting height,")</f>
        <v/>
      </c>
      <c r="M21" s="65"/>
      <c r="N21" s="66"/>
      <c r="O21" s="66"/>
      <c r="S21" t="str">
        <f t="shared" si="0"/>
        <v>Pass</v>
      </c>
      <c r="T21" t="b">
        <f>COUNTBLANK('NonRes Compliance Calculator'!C72:L72)+COUNTBLANK('NonRes Compliance Calculator'!P72)&gt;0</f>
        <v>1</v>
      </c>
      <c r="U21" t="str">
        <f>IF(Proposed_analysis9[[#This Row],[Info?]]=FALSE,Proposed_analysis9[[#This Row],[PASS/FAIL]],"More info needed")</f>
        <v>More info needed</v>
      </c>
    </row>
    <row r="22" spans="1:21" x14ac:dyDescent="0.3">
      <c r="A22" s="10">
        <f>'NonRes Compliance Calculator'!D73</f>
        <v>0</v>
      </c>
      <c r="B22" s="10">
        <f>'NonRes Compliance Calculator'!E73</f>
        <v>0</v>
      </c>
      <c r="C22" s="10">
        <f>'NonRes Compliance Calculator'!C73</f>
        <v>0</v>
      </c>
      <c r="D22" s="10">
        <f>'NonRes Compliance Calculator'!J72</f>
        <v>0</v>
      </c>
      <c r="E22" s="10" t="str">
        <f>IF(AND(OR(A22='Non-res - Ordinance Values'!$B$16,A22='Non-res - Ordinance Values'!$B$17,A22='Non-res - Ordinance Values'!$B$19),OR(D22='Non-res - Ordinance Values'!$B$4,D22='Non-res - Ordinance Values'!$B$5,D22='Non-res - Ordinance Values'!$B$8,D22='Non-res - Ordinance Values'!$B$9,D22='Non-res - Ordinance Values'!$B$12)),"Unapproved use of unshielded or partially shielded fixtures, ","")</f>
        <v/>
      </c>
      <c r="F22" s="10" t="str" cm="1">
        <f t="array" ref="F22">_xlfn.IFNA(IF('NonRes Compliance Calculator'!D73='Non-res - Ordinance Values'!$B$20,"",(IF('NonRes Compliance Calculator'!F73&gt;VLOOKUP('NonRes Compliance Calculator'!D73,'Non-res - Ordinance Values'!$B$16:$F$21,_xlfn.IFS('NonRes Compliance Calculator'!$D$27="LZ1",3,'NonRes Compliance Calculator'!$D$27="LZ2",4),FALSE),"Lumens exceed limit,",""))),"")</f>
        <v/>
      </c>
      <c r="G22" s="56"/>
      <c r="H22" s="57" t="str">
        <f>IF('NonRes Compliance Calculator'!I73="","",IF('NonRes Compliance Calculator'!I73&gt;3000,"CCT too high,",""))</f>
        <v/>
      </c>
      <c r="I22" s="10" t="str">
        <f>IF('NonRes Compliance Calculator'!I73="","",IF('NonRes Compliance Calculator'!I73&lt;2700,"CCT too low,",""))</f>
        <v/>
      </c>
      <c r="J22" s="70"/>
      <c r="K22" s="56"/>
      <c r="L22" s="10" t="str">
        <f>IF('NonRes Compliance Calculator'!L73&lt;='NonRes Compliance Calculator'!K73,"","Exceeds allowed mounting height,")</f>
        <v/>
      </c>
      <c r="M22" s="65"/>
      <c r="N22" s="66"/>
      <c r="O22" s="66"/>
      <c r="S22" t="str">
        <f t="shared" si="0"/>
        <v>Pass</v>
      </c>
      <c r="T22" t="b">
        <f>COUNTBLANK('NonRes Compliance Calculator'!C73:L73)+COUNTBLANK('NonRes Compliance Calculator'!P73)&gt;0</f>
        <v>1</v>
      </c>
      <c r="U22" t="str">
        <f>IF(Proposed_analysis9[[#This Row],[Info?]]=FALSE,Proposed_analysis9[[#This Row],[PASS/FAIL]],"More info needed")</f>
        <v>More info needed</v>
      </c>
    </row>
    <row r="23" spans="1:21" x14ac:dyDescent="0.3">
      <c r="A23" s="10">
        <f>'NonRes Compliance Calculator'!D74</f>
        <v>0</v>
      </c>
      <c r="B23" s="10" t="str">
        <f>'NonRes Compliance Calculator'!E74</f>
        <v>lumens</v>
      </c>
      <c r="C23" s="10" t="str">
        <f>'NonRes Compliance Calculator'!C74</f>
        <v>Total proposed unshielded or partially shielded lumens</v>
      </c>
      <c r="D23" s="10">
        <f>'NonRes Compliance Calculator'!J73</f>
        <v>0</v>
      </c>
      <c r="E23" s="10" t="str">
        <f>IF(AND(OR(A23='Non-res - Ordinance Values'!$B$16,A23='Non-res - Ordinance Values'!$B$17,A23='Non-res - Ordinance Values'!$B$19),OR(D23='Non-res - Ordinance Values'!$B$4,D23='Non-res - Ordinance Values'!$B$5,D23='Non-res - Ordinance Values'!$B$8,D23='Non-res - Ordinance Values'!$B$9,D23='Non-res - Ordinance Values'!$B$12)),"Unapproved use of unshielded or partially shielded fixtures, ","")</f>
        <v/>
      </c>
      <c r="F23" s="10" t="str" cm="1">
        <f t="array" ref="F23">_xlfn.IFNA(IF('NonRes Compliance Calculator'!D74='Non-res - Ordinance Values'!$B$20,"",(IF('NonRes Compliance Calculator'!F74&gt;VLOOKUP('NonRes Compliance Calculator'!D74,'Non-res - Ordinance Values'!$B$16:$F$21,_xlfn.IFS('NonRes Compliance Calculator'!$D$27="LZ1",3,'NonRes Compliance Calculator'!$D$27="LZ2",4),FALSE),"Lumens exceed limit,",""))),"")</f>
        <v/>
      </c>
      <c r="G23" s="56"/>
      <c r="H23" s="57" t="str">
        <f>IF('NonRes Compliance Calculator'!I74="","",IF('NonRes Compliance Calculator'!I74&gt;3000,"CCT too high,",""))</f>
        <v/>
      </c>
      <c r="I23" s="10" t="str">
        <f>IF('NonRes Compliance Calculator'!I74="","",IF('NonRes Compliance Calculator'!I74&lt;2700,"CCT too low,",""))</f>
        <v/>
      </c>
      <c r="J23" s="70"/>
      <c r="K23" s="56"/>
      <c r="L23" s="10" t="str">
        <f>IF('NonRes Compliance Calculator'!L74&lt;='NonRes Compliance Calculator'!K74,"","Exceeds allowed mounting height,")</f>
        <v/>
      </c>
      <c r="M23" s="65"/>
      <c r="N23" s="66"/>
      <c r="O23" s="66"/>
      <c r="S23" t="str">
        <f t="shared" si="0"/>
        <v>Pass</v>
      </c>
      <c r="T23" t="b">
        <f>COUNTBLANK('NonRes Compliance Calculator'!C74:L74)+COUNTBLANK('NonRes Compliance Calculator'!P74)&gt;0</f>
        <v>1</v>
      </c>
      <c r="U23" t="str">
        <f>IF(Proposed_analysis9[[#This Row],[Info?]]=FALSE,Proposed_analysis9[[#This Row],[PASS/FAIL]],"More info needed")</f>
        <v>More info needed</v>
      </c>
    </row>
    <row r="24" spans="1:21" x14ac:dyDescent="0.3">
      <c r="A24" s="10">
        <f>'NonRes Compliance Calculator'!D75</f>
        <v>0</v>
      </c>
      <c r="B24" s="10">
        <f>'NonRes Compliance Calculator'!E75</f>
        <v>0</v>
      </c>
      <c r="C24" s="10" t="str">
        <f>'NonRes Compliance Calculator'!C75</f>
        <v>Proposed percentage unshielded/partially shielded lumens of total lumen allowance</v>
      </c>
      <c r="D24" s="10">
        <f>'NonRes Compliance Calculator'!J74</f>
        <v>0</v>
      </c>
      <c r="E24" s="10" t="str">
        <f>IF(AND(OR(A24='Non-res - Ordinance Values'!$B$16,A24='Non-res - Ordinance Values'!$B$17,A24='Non-res - Ordinance Values'!$B$19),OR(D24='Non-res - Ordinance Values'!$B$4,D24='Non-res - Ordinance Values'!$B$5,D24='Non-res - Ordinance Values'!$B$8,D24='Non-res - Ordinance Values'!$B$9,D24='Non-res - Ordinance Values'!$B$12)),"Unapproved use of unshielded or partially shielded fixtures, ","")</f>
        <v/>
      </c>
      <c r="F24" s="10" t="str" cm="1">
        <f t="array" ref="F24">_xlfn.IFNA(IF('NonRes Compliance Calculator'!D75='Non-res - Ordinance Values'!$B$20,"",(IF('NonRes Compliance Calculator'!F75&gt;VLOOKUP('NonRes Compliance Calculator'!D75,'Non-res - Ordinance Values'!$B$16:$F$21,_xlfn.IFS('NonRes Compliance Calculator'!$D$27="LZ1",3,'NonRes Compliance Calculator'!$D$27="LZ2",4),FALSE),"Lumens exceed limit,",""))),"")</f>
        <v/>
      </c>
      <c r="G24" s="56"/>
      <c r="H24" s="57" t="str">
        <f>IF('NonRes Compliance Calculator'!I75="","",IF('NonRes Compliance Calculator'!I75&gt;3000,"CCT too high,",""))</f>
        <v/>
      </c>
      <c r="I24" s="10" t="str">
        <f>IF('NonRes Compliance Calculator'!I75="","",IF('NonRes Compliance Calculator'!I75&lt;2700,"CCT too low,",""))</f>
        <v/>
      </c>
      <c r="J24" s="70"/>
      <c r="K24" s="56"/>
      <c r="L24" s="10" t="str">
        <f>IF('NonRes Compliance Calculator'!L75&lt;='NonRes Compliance Calculator'!K75,"","Exceeds allowed mounting height,")</f>
        <v/>
      </c>
      <c r="M24" s="65"/>
      <c r="N24" s="66"/>
      <c r="O24" s="66"/>
      <c r="S24" t="str">
        <f t="shared" si="0"/>
        <v>Pass</v>
      </c>
      <c r="T24" t="b">
        <f>COUNTBLANK('NonRes Compliance Calculator'!C75:L75)+COUNTBLANK('NonRes Compliance Calculator'!P75)&gt;0</f>
        <v>1</v>
      </c>
      <c r="U24" t="str">
        <f>IF(Proposed_analysis9[[#This Row],[Info?]]=FALSE,Proposed_analysis9[[#This Row],[PASS/FAIL]],"More info needed")</f>
        <v>More info needed</v>
      </c>
    </row>
    <row r="25" spans="1:21" x14ac:dyDescent="0.3">
      <c r="A25" s="10">
        <f>'NonRes Compliance Calculator'!I76</f>
        <v>0</v>
      </c>
      <c r="B25" s="10">
        <f>'NonRes Compliance Calculator'!J76</f>
        <v>0</v>
      </c>
      <c r="C25" s="10">
        <f>'NonRes Compliance Calculator'!H76</f>
        <v>0</v>
      </c>
      <c r="D25" s="10">
        <f>'NonRes Compliance Calculator'!J75</f>
        <v>0</v>
      </c>
      <c r="E25" s="10" t="str">
        <f>IF(AND(OR(A25='Non-res - Ordinance Values'!$B$16,A25='Non-res - Ordinance Values'!$B$17,A25='Non-res - Ordinance Values'!$B$19),OR(D25='Non-res - Ordinance Values'!$B$4,D25='Non-res - Ordinance Values'!$B$5,D25='Non-res - Ordinance Values'!$B$8,D25='Non-res - Ordinance Values'!$B$9,D25='Non-res - Ordinance Values'!$B$12)),"Unapproved use of unshielded or partially shielded fixtures, ","")</f>
        <v/>
      </c>
      <c r="F25" s="10" t="str" cm="1">
        <f t="array" ref="F25">_xlfn.IFNA(IF('NonRes Compliance Calculator'!I76='Non-res - Ordinance Values'!$B$20,"",(IF('NonRes Compliance Calculator'!K76&gt;VLOOKUP('NonRes Compliance Calculator'!I76,'Non-res - Ordinance Values'!$B$16:$F$21,_xlfn.IFS('NonRes Compliance Calculator'!$D$27="LZ1",3,'NonRes Compliance Calculator'!$D$27="LZ2",4),FALSE),"Lumens exceed limit,",""))),"")</f>
        <v/>
      </c>
      <c r="G25" s="56"/>
      <c r="H25" s="57" t="str">
        <f>IF('NonRes Compliance Calculator'!N76="","",IF('NonRes Compliance Calculator'!N76&gt;3000,"CCT too high,",""))</f>
        <v/>
      </c>
      <c r="I25" s="10" t="str">
        <f>IF('NonRes Compliance Calculator'!N76="","",IF('NonRes Compliance Calculator'!N76&lt;2700,"CCT too low,",""))</f>
        <v/>
      </c>
      <c r="J25" s="70"/>
      <c r="K25" s="56"/>
      <c r="L25" s="10" t="str">
        <f>IF('NonRes Compliance Calculator'!Q76&lt;='NonRes Compliance Calculator'!P76,"","Exceeds allowed mounting height,")</f>
        <v/>
      </c>
      <c r="M25" s="65"/>
      <c r="N25" s="66"/>
      <c r="O25" s="66"/>
      <c r="S25" t="str">
        <f t="shared" si="0"/>
        <v>Pass</v>
      </c>
      <c r="T25" t="b">
        <f>COUNTBLANK('NonRes Compliance Calculator'!C76:L76)+COUNTBLANK('NonRes Compliance Calculator'!P76)&gt;0</f>
        <v>1</v>
      </c>
      <c r="U25" t="str">
        <f>IF(Proposed_analysis9[[#This Row],[Info?]]=FALSE,Proposed_analysis9[[#This Row],[PASS/FAIL]],"More info needed")</f>
        <v>More info needed</v>
      </c>
    </row>
    <row r="26" spans="1:21" x14ac:dyDescent="0.3">
      <c r="A26" s="10">
        <f>'NonRes Compliance Calculator'!D78</f>
        <v>0</v>
      </c>
      <c r="B26" s="10">
        <f>'NonRes Compliance Calculator'!E78</f>
        <v>0</v>
      </c>
      <c r="C26" s="10">
        <f>'NonRes Compliance Calculator'!C78</f>
        <v>0</v>
      </c>
      <c r="D26" s="10">
        <f>'NonRes Compliance Calculator'!J76</f>
        <v>0</v>
      </c>
      <c r="E26" s="10" t="str">
        <f>IF(AND(OR(A26='Non-res - Ordinance Values'!$B$16,A26='Non-res - Ordinance Values'!$B$17,A26='Non-res - Ordinance Values'!$B$19),OR(D26='Non-res - Ordinance Values'!$B$4,D26='Non-res - Ordinance Values'!$B$5,D26='Non-res - Ordinance Values'!$B$8,D26='Non-res - Ordinance Values'!$B$9,D26='Non-res - Ordinance Values'!$B$12)),"Unapproved use of unshielded or partially shielded fixtures, ","")</f>
        <v/>
      </c>
      <c r="F26" s="10" t="str" cm="1">
        <f t="array" ref="F26">_xlfn.IFNA(IF('NonRes Compliance Calculator'!D78='Non-res - Ordinance Values'!$B$20,"",(IF('NonRes Compliance Calculator'!F78&gt;VLOOKUP('NonRes Compliance Calculator'!D78,'Non-res - Ordinance Values'!$B$16:$F$21,_xlfn.IFS('NonRes Compliance Calculator'!$D$27="LZ1",3,'NonRes Compliance Calculator'!$D$27="LZ2",4),FALSE),"Lumens exceed limit,",""))),"")</f>
        <v/>
      </c>
      <c r="G26" s="56"/>
      <c r="H26" s="57" t="e">
        <f>IF('NonRes Compliance Calculator'!#REF!="","",IF('NonRes Compliance Calculator'!#REF!&gt;3000,"CCT too high,",""))</f>
        <v>#REF!</v>
      </c>
      <c r="I26" s="10" t="e">
        <f>IF('NonRes Compliance Calculator'!#REF!="","",IF('NonRes Compliance Calculator'!#REF!&lt;2700,"CCT too low,",""))</f>
        <v>#REF!</v>
      </c>
      <c r="J26" s="70"/>
      <c r="K26" s="56"/>
      <c r="L26" s="10" t="str">
        <f>IF('NonRes Compliance Calculator'!L78&lt;='NonRes Compliance Calculator'!K78,"","Exceeds allowed mounting height,")</f>
        <v/>
      </c>
      <c r="M26" s="65"/>
      <c r="N26" s="66"/>
      <c r="O26" s="66"/>
      <c r="S26" t="str">
        <f t="shared" si="0"/>
        <v>Pass</v>
      </c>
      <c r="T26" t="b">
        <f>COUNTBLANK('NonRes Compliance Calculator'!C77:L77)+COUNTBLANK('NonRes Compliance Calculator'!P77)&gt;0</f>
        <v>1</v>
      </c>
      <c r="U26" t="str">
        <f>IF(Proposed_analysis9[[#This Row],[Info?]]=FALSE,Proposed_analysis9[[#This Row],[PASS/FAIL]],"More info needed")</f>
        <v>More info needed</v>
      </c>
    </row>
    <row r="27" spans="1:21" x14ac:dyDescent="0.3">
      <c r="A27" s="10">
        <f>'NonRes Compliance Calculator'!D79</f>
        <v>0</v>
      </c>
      <c r="B27" s="10">
        <f>'NonRes Compliance Calculator'!E79</f>
        <v>0</v>
      </c>
      <c r="C27" s="10" t="str">
        <f>'NonRes Compliance Calculator'!C79</f>
        <v>The parcel must be under the lumen allowance for every application type. Proposed fixtures not used for any of these applications will not be analyzed in this table.</v>
      </c>
      <c r="D27" s="10">
        <f>'NonRes Compliance Calculator'!J77</f>
        <v>0</v>
      </c>
      <c r="E27" s="10" t="str">
        <f>IF(AND(OR(A27='Non-res - Ordinance Values'!$B$16,A27='Non-res - Ordinance Values'!$B$17,A27='Non-res - Ordinance Values'!$B$19),OR(D27='Non-res - Ordinance Values'!$B$4,D27='Non-res - Ordinance Values'!$B$5,D27='Non-res - Ordinance Values'!$B$8,D27='Non-res - Ordinance Values'!$B$9,D27='Non-res - Ordinance Values'!$B$12)),"Unapproved use of unshielded or partially shielded fixtures, ","")</f>
        <v/>
      </c>
      <c r="F27" s="10" t="str" cm="1">
        <f t="array" ref="F27">_xlfn.IFNA(IF('NonRes Compliance Calculator'!D79='Non-res - Ordinance Values'!$B$20,"",(IF('NonRes Compliance Calculator'!F79&gt;VLOOKUP('NonRes Compliance Calculator'!D79,'Non-res - Ordinance Values'!$B$16:$F$21,_xlfn.IFS('NonRes Compliance Calculator'!$D$27="LZ1",3,'NonRes Compliance Calculator'!$D$27="LZ2",4),FALSE),"Lumens exceed limit,",""))),"")</f>
        <v/>
      </c>
      <c r="G27" s="56"/>
      <c r="H27" s="57" t="e">
        <f>IF('NonRes Compliance Calculator'!#REF!="","",IF('NonRes Compliance Calculator'!#REF!&gt;3000,"CCT too high,",""))</f>
        <v>#REF!</v>
      </c>
      <c r="I27" s="10" t="e">
        <f>IF('NonRes Compliance Calculator'!#REF!="","",IF('NonRes Compliance Calculator'!#REF!&lt;2700,"CCT too low,",""))</f>
        <v>#REF!</v>
      </c>
      <c r="J27" s="70"/>
      <c r="K27" s="56"/>
      <c r="L27" s="10" t="str">
        <f>IF('NonRes Compliance Calculator'!L79&lt;='NonRes Compliance Calculator'!K79,"","Exceeds allowed mounting height,")</f>
        <v/>
      </c>
      <c r="M27" s="65"/>
      <c r="N27" s="66"/>
      <c r="O27" s="66"/>
      <c r="S27" t="str">
        <f t="shared" si="0"/>
        <v>Pass</v>
      </c>
      <c r="T27" t="b">
        <f>COUNTBLANK('NonRes Compliance Calculator'!C78:L78)+COUNTBLANK('NonRes Compliance Calculator'!P78)&gt;0</f>
        <v>1</v>
      </c>
      <c r="U27" t="str">
        <f>IF(Proposed_analysis9[[#This Row],[Info?]]=FALSE,Proposed_analysis9[[#This Row],[PASS/FAIL]],"More info needed")</f>
        <v>More info needed</v>
      </c>
    </row>
    <row r="28" spans="1:21" x14ac:dyDescent="0.3">
      <c r="A28" s="10" t="str">
        <f>'NonRes Compliance Calculator'!D80</f>
        <v>Total Proposed Lumens</v>
      </c>
      <c r="B28" s="10" t="str">
        <f>'NonRes Compliance Calculator'!E80</f>
        <v>Calculated Lumen Allowance</v>
      </c>
      <c r="C28" s="10" t="str">
        <f>'NonRes Compliance Calculator'!C80</f>
        <v>Application</v>
      </c>
      <c r="D28" s="10">
        <f>'NonRes Compliance Calculator'!J78</f>
        <v>0</v>
      </c>
      <c r="E28" s="10" t="str">
        <f>IF(AND(OR(A28='Non-res - Ordinance Values'!$B$16,A28='Non-res - Ordinance Values'!$B$17,A28='Non-res - Ordinance Values'!$B$19),OR(D28='Non-res - Ordinance Values'!$B$4,D28='Non-res - Ordinance Values'!$B$5,D28='Non-res - Ordinance Values'!$B$8,D28='Non-res - Ordinance Values'!$B$9,D28='Non-res - Ordinance Values'!$B$12)),"Unapproved use of unshielded or partially shielded fixtures, ","")</f>
        <v/>
      </c>
      <c r="F28" s="10" t="str" cm="1">
        <f t="array" ref="F28">_xlfn.IFNA(IF('NonRes Compliance Calculator'!D80='Non-res - Ordinance Values'!$B$20,"",(IF('NonRes Compliance Calculator'!F80&gt;VLOOKUP('NonRes Compliance Calculator'!D80,'Non-res - Ordinance Values'!$B$16:$F$21,_xlfn.IFS('NonRes Compliance Calculator'!$D$27="LZ1",3,'NonRes Compliance Calculator'!$D$27="LZ2",4),FALSE),"Lumens exceed limit,",""))),"")</f>
        <v/>
      </c>
      <c r="G28" s="56"/>
      <c r="H28" s="57" t="str">
        <f>IF('NonRes Compliance Calculator'!H80="","",IF('NonRes Compliance Calculator'!H80&gt;3000,"CCT too high,",""))</f>
        <v/>
      </c>
      <c r="I28" s="10" t="str">
        <f>IF('NonRes Compliance Calculator'!H80="","",IF('NonRes Compliance Calculator'!H80&lt;2700,"CCT too low,",""))</f>
        <v/>
      </c>
      <c r="J28" s="70"/>
      <c r="K28" s="56"/>
      <c r="L28" s="10" t="str">
        <f>IF('NonRes Compliance Calculator'!K80&lt;='NonRes Compliance Calculator'!J80,"","Exceeds allowed mounting height,")</f>
        <v/>
      </c>
      <c r="M28" s="65"/>
      <c r="N28" s="66"/>
      <c r="O28" s="66"/>
      <c r="S28" t="str">
        <f t="shared" si="0"/>
        <v>Pass</v>
      </c>
      <c r="T28" t="b">
        <f>COUNTBLANK('NonRes Compliance Calculator'!C79:L79)+COUNTBLANK('NonRes Compliance Calculator'!P79)&gt;0</f>
        <v>1</v>
      </c>
      <c r="U28" t="str">
        <f>IF(Proposed_analysis9[[#This Row],[Info?]]=FALSE,Proposed_analysis9[[#This Row],[PASS/FAIL]],"More info needed")</f>
        <v>More info needed</v>
      </c>
    </row>
    <row r="29" spans="1:21" x14ac:dyDescent="0.3">
      <c r="A29" s="10">
        <f>'NonRes Compliance Calculator'!D81</f>
        <v>0</v>
      </c>
      <c r="B29" s="10">
        <f>'NonRes Compliance Calculator'!E81</f>
        <v>0</v>
      </c>
      <c r="C29" s="10" t="str">
        <f>'NonRes Compliance Calculator'!C81</f>
        <v>Building Entrance(s)</v>
      </c>
      <c r="D29" s="10">
        <f>'NonRes Compliance Calculator'!J79</f>
        <v>0</v>
      </c>
      <c r="E29" s="10" t="str">
        <f>IF(AND(OR(A29='Non-res - Ordinance Values'!$B$16,A29='Non-res - Ordinance Values'!$B$17,A29='Non-res - Ordinance Values'!$B$19),OR(D29='Non-res - Ordinance Values'!$B$4,D29='Non-res - Ordinance Values'!$B$5,D29='Non-res - Ordinance Values'!$B$8,D29='Non-res - Ordinance Values'!$B$9,D29='Non-res - Ordinance Values'!$B$12)),"Unapproved use of unshielded or partially shielded fixtures, ","")</f>
        <v/>
      </c>
      <c r="F29" s="10" t="str" cm="1">
        <f t="array" ref="F29">_xlfn.IFNA(IF('NonRes Compliance Calculator'!D81='Non-res - Ordinance Values'!$B$20,"",(IF('NonRes Compliance Calculator'!F81&gt;VLOOKUP('NonRes Compliance Calculator'!D81,'Non-res - Ordinance Values'!$B$16:$F$21,_xlfn.IFS('NonRes Compliance Calculator'!$D$27="LZ1",3,'NonRes Compliance Calculator'!$D$27="LZ2",4),FALSE),"Lumens exceed limit,",""))),"")</f>
        <v/>
      </c>
      <c r="G29" s="56"/>
      <c r="H29" s="57" t="str">
        <f>IF('NonRes Compliance Calculator'!H81="","",IF('NonRes Compliance Calculator'!H81&gt;3000,"CCT too high,",""))</f>
        <v/>
      </c>
      <c r="I29" s="10" t="str">
        <f>IF('NonRes Compliance Calculator'!H81="","",IF('NonRes Compliance Calculator'!H81&lt;2700,"CCT too low,",""))</f>
        <v/>
      </c>
      <c r="J29" s="70"/>
      <c r="K29" s="56"/>
      <c r="L29" s="10" t="str">
        <f>IF('NonRes Compliance Calculator'!K81&lt;='NonRes Compliance Calculator'!J81,"","Exceeds allowed mounting height,")</f>
        <v/>
      </c>
      <c r="M29" s="65"/>
      <c r="N29" s="66"/>
      <c r="O29" s="66"/>
      <c r="S29" t="str">
        <f t="shared" si="0"/>
        <v>Pass</v>
      </c>
      <c r="T29" t="b">
        <f>COUNTBLANK('NonRes Compliance Calculator'!C80:K80)+COUNTBLANK('NonRes Compliance Calculator'!O80)&gt;0</f>
        <v>1</v>
      </c>
      <c r="U29" t="str">
        <f>IF(Proposed_analysis9[[#This Row],[Info?]]=FALSE,Proposed_analysis9[[#This Row],[PASS/FAIL]],"More info needed")</f>
        <v>More info needed</v>
      </c>
    </row>
    <row r="30" spans="1:21" x14ac:dyDescent="0.3">
      <c r="A30" s="10">
        <f>'NonRes Compliance Calculator'!D82</f>
        <v>0</v>
      </c>
      <c r="B30" s="10">
        <f>'NonRes Compliance Calculator'!E82</f>
        <v>0</v>
      </c>
      <c r="C30" s="10" t="str">
        <f>'NonRes Compliance Calculator'!C82</f>
        <v>Building Facade</v>
      </c>
      <c r="D30" s="10">
        <f>'NonRes Compliance Calculator'!J80</f>
        <v>0</v>
      </c>
      <c r="E30" s="10" t="str">
        <f>IF(AND(OR(A30='Non-res - Ordinance Values'!$B$16,A30='Non-res - Ordinance Values'!$B$17,A30='Non-res - Ordinance Values'!$B$19),OR(D30='Non-res - Ordinance Values'!$B$4,D30='Non-res - Ordinance Values'!$B$5,D30='Non-res - Ordinance Values'!$B$8,D30='Non-res - Ordinance Values'!$B$9,D30='Non-res - Ordinance Values'!$B$12)),"Unapproved use of unshielded or partially shielded fixtures, ","")</f>
        <v/>
      </c>
      <c r="F30" s="10" t="str" cm="1">
        <f t="array" ref="F30">_xlfn.IFNA(IF('NonRes Compliance Calculator'!D82='Non-res - Ordinance Values'!$B$20,"",(IF('NonRes Compliance Calculator'!F82&gt;VLOOKUP('NonRes Compliance Calculator'!D82,'Non-res - Ordinance Values'!$B$16:$F$21,_xlfn.IFS('NonRes Compliance Calculator'!$D$27="LZ1",3,'NonRes Compliance Calculator'!$D$27="LZ2",4),FALSE),"Lumens exceed limit,",""))),"")</f>
        <v/>
      </c>
      <c r="G30" s="56"/>
      <c r="H30" s="57" t="str">
        <f>IF('NonRes Compliance Calculator'!I77="","",IF('NonRes Compliance Calculator'!I77&gt;3000,"CCT too high,",""))</f>
        <v/>
      </c>
      <c r="I30" s="10" t="str">
        <f>IF('NonRes Compliance Calculator'!I77="","",IF('NonRes Compliance Calculator'!I77&lt;2700,"CCT too low,",""))</f>
        <v/>
      </c>
      <c r="J30" s="70"/>
      <c r="K30" s="56"/>
      <c r="L30" s="10" t="str">
        <f>IF('NonRes Compliance Calculator'!K82&lt;='NonRes Compliance Calculator'!J82,"","Exceeds allowed mounting height,")</f>
        <v/>
      </c>
      <c r="M30" s="65"/>
      <c r="N30" s="66"/>
      <c r="O30" s="66"/>
      <c r="S30" t="str">
        <f t="shared" si="0"/>
        <v>Pass</v>
      </c>
      <c r="T30" t="b">
        <f>COUNTBLANK('NonRes Compliance Calculator'!C81:K81)+COUNTBLANK('NonRes Compliance Calculator'!O81)&gt;0</f>
        <v>1</v>
      </c>
      <c r="U30" t="str">
        <f>IF(Proposed_analysis9[[#This Row],[Info?]]=FALSE,Proposed_analysis9[[#This Row],[PASS/FAIL]],"More info needed")</f>
        <v>More info needed</v>
      </c>
    </row>
    <row r="31" spans="1:21" x14ac:dyDescent="0.3">
      <c r="A31" s="10">
        <f>'NonRes Compliance Calculator'!D83</f>
        <v>0</v>
      </c>
      <c r="B31" s="10">
        <f>'NonRes Compliance Calculator'!E83</f>
        <v>0</v>
      </c>
      <c r="C31" s="10" t="str">
        <f>'NonRes Compliance Calculator'!C83</f>
        <v>Nighttime Service Loading</v>
      </c>
      <c r="D31" s="10">
        <f>'NonRes Compliance Calculator'!J81</f>
        <v>0</v>
      </c>
      <c r="E31" s="10" t="str">
        <f>IF(AND(OR(A31='Non-res - Ordinance Values'!$B$16,A31='Non-res - Ordinance Values'!$B$17,A31='Non-res - Ordinance Values'!$B$19),OR(D31='Non-res - Ordinance Values'!$B$4,D31='Non-res - Ordinance Values'!$B$5,D31='Non-res - Ordinance Values'!$B$8,D31='Non-res - Ordinance Values'!$B$9,D31='Non-res - Ordinance Values'!$B$12)),"Unapproved use of unshielded or partially shielded fixtures, ","")</f>
        <v/>
      </c>
      <c r="F31" s="10" t="str" cm="1">
        <f t="array" ref="F31">_xlfn.IFNA(IF('NonRes Compliance Calculator'!D83='Non-res - Ordinance Values'!$B$20,"",(IF('NonRes Compliance Calculator'!F83&gt;VLOOKUP('NonRes Compliance Calculator'!D83,'Non-res - Ordinance Values'!$B$16:$F$21,_xlfn.IFS('NonRes Compliance Calculator'!$D$27="LZ1",3,'NonRes Compliance Calculator'!$D$27="LZ2",4),FALSE),"Lumens exceed limit,",""))),"")</f>
        <v/>
      </c>
      <c r="G31" s="56"/>
      <c r="H31" s="57" t="str">
        <f>IF('NonRes Compliance Calculator'!I78="","",IF('NonRes Compliance Calculator'!I78&gt;3000,"CCT too high,",""))</f>
        <v/>
      </c>
      <c r="I31" s="10" t="str">
        <f>IF('NonRes Compliance Calculator'!I78="","",IF('NonRes Compliance Calculator'!I78&lt;2700,"CCT too low,",""))</f>
        <v/>
      </c>
      <c r="J31" s="70"/>
      <c r="K31" s="56"/>
      <c r="L31" s="10" t="str">
        <f>IF('NonRes Compliance Calculator'!K83&lt;='NonRes Compliance Calculator'!J83,"","Exceeds allowed mounting height,")</f>
        <v/>
      </c>
      <c r="M31" s="65"/>
      <c r="N31" s="66"/>
      <c r="O31" s="66"/>
      <c r="S31" t="str">
        <f t="shared" si="0"/>
        <v>Pass</v>
      </c>
      <c r="T31" t="b">
        <f>COUNTBLANK('NonRes Compliance Calculator'!C82:K82)+COUNTBLANK('NonRes Compliance Calculator'!O82)&gt;0</f>
        <v>1</v>
      </c>
      <c r="U31" t="str">
        <f>IF(Proposed_analysis9[[#This Row],[Info?]]=FALSE,Proposed_analysis9[[#This Row],[PASS/FAIL]],"More info needed")</f>
        <v>More info needed</v>
      </c>
    </row>
    <row r="32" spans="1:21" x14ac:dyDescent="0.3">
      <c r="A32" s="10">
        <f>'NonRes Compliance Calculator'!D84</f>
        <v>0</v>
      </c>
      <c r="B32" s="10">
        <f>'NonRes Compliance Calculator'!E84</f>
        <v>0</v>
      </c>
      <c r="C32" s="10" t="str">
        <f>'NonRes Compliance Calculator'!C84</f>
        <v>Surface parking</v>
      </c>
      <c r="D32" s="10">
        <f>'NonRes Compliance Calculator'!J82</f>
        <v>0</v>
      </c>
      <c r="E32" s="10" t="str">
        <f>IF(AND(OR(A32='Non-res - Ordinance Values'!$B$16,A32='Non-res - Ordinance Values'!$B$17,A32='Non-res - Ordinance Values'!$B$19),OR(D32='Non-res - Ordinance Values'!$B$4,D32='Non-res - Ordinance Values'!$B$5,D32='Non-res - Ordinance Values'!$B$8,D32='Non-res - Ordinance Values'!$B$9,D32='Non-res - Ordinance Values'!$B$12)),"Unapproved use of unshielded or partially shielded fixtures, ","")</f>
        <v/>
      </c>
      <c r="F32" s="10" t="str" cm="1">
        <f t="array" ref="F32">_xlfn.IFNA(IF('NonRes Compliance Calculator'!D84='Non-res - Ordinance Values'!$B$20,"",(IF('NonRes Compliance Calculator'!F84&gt;VLOOKUP('NonRes Compliance Calculator'!D84,'Non-res - Ordinance Values'!$B$16:$F$21,_xlfn.IFS('NonRes Compliance Calculator'!$D$27="LZ1",3,'NonRes Compliance Calculator'!$D$27="LZ2",4),FALSE),"Lumens exceed limit,",""))),"")</f>
        <v/>
      </c>
      <c r="G32" s="56"/>
      <c r="H32" s="57" t="str">
        <f>IF('NonRes Compliance Calculator'!I79="","",IF('NonRes Compliance Calculator'!I79&gt;3000,"CCT too high,",""))</f>
        <v/>
      </c>
      <c r="I32" s="10" t="str">
        <f>IF('NonRes Compliance Calculator'!I79="","",IF('NonRes Compliance Calculator'!I79&lt;2700,"CCT too low,",""))</f>
        <v/>
      </c>
      <c r="J32" s="70"/>
      <c r="K32" s="56"/>
      <c r="L32" s="10" t="str">
        <f>IF('NonRes Compliance Calculator'!K84&lt;='NonRes Compliance Calculator'!J84,"","Exceeds allowed mounting height,")</f>
        <v/>
      </c>
      <c r="M32" s="65"/>
      <c r="N32" s="66"/>
      <c r="O32" s="66"/>
      <c r="S32" t="str">
        <f t="shared" si="0"/>
        <v>Pass</v>
      </c>
      <c r="T32" t="b">
        <f>COUNTBLANK('NonRes Compliance Calculator'!C83:K83)+COUNTBLANK('NonRes Compliance Calculator'!O83)&gt;0</f>
        <v>1</v>
      </c>
      <c r="U32" t="str">
        <f>IF(Proposed_analysis9[[#This Row],[Info?]]=FALSE,Proposed_analysis9[[#This Row],[PASS/FAIL]],"More info needed")</f>
        <v>More info needed</v>
      </c>
    </row>
    <row r="33" spans="1:21" x14ac:dyDescent="0.3">
      <c r="A33" s="10">
        <f>'NonRes Compliance Calculator'!D85</f>
        <v>0</v>
      </c>
      <c r="B33" s="10">
        <f>'NonRes Compliance Calculator'!E85</f>
        <v>0</v>
      </c>
      <c r="C33" s="10" t="str">
        <f>'NonRes Compliance Calculator'!C85</f>
        <v>Gas Station Canopy</v>
      </c>
      <c r="D33" s="10">
        <f>'NonRes Compliance Calculator'!J83</f>
        <v>0</v>
      </c>
      <c r="E33" s="10" t="str">
        <f>IF(AND(OR(A33='Non-res - Ordinance Values'!$B$16,A33='Non-res - Ordinance Values'!$B$17,A33='Non-res - Ordinance Values'!$B$19),OR(D33='Non-res - Ordinance Values'!$B$4,D33='Non-res - Ordinance Values'!$B$5,D33='Non-res - Ordinance Values'!$B$8,D33='Non-res - Ordinance Values'!$B$9,D33='Non-res - Ordinance Values'!$B$12)),"Unapproved use of unshielded or partially shielded fixtures, ","")</f>
        <v/>
      </c>
      <c r="F33" s="10" t="str" cm="1">
        <f t="array" ref="F33">_xlfn.IFNA(IF('NonRes Compliance Calculator'!D85='Non-res - Ordinance Values'!$B$20,"",(IF('NonRes Compliance Calculator'!F85&gt;VLOOKUP('NonRes Compliance Calculator'!D85,'Non-res - Ordinance Values'!$B$16:$F$21,_xlfn.IFS('NonRes Compliance Calculator'!$D$27="LZ1",3,'NonRes Compliance Calculator'!$D$27="LZ2",4),FALSE),"Lumens exceed limit,",""))),"")</f>
        <v/>
      </c>
      <c r="G33" s="56"/>
      <c r="H33" s="57" t="str">
        <f>IF('NonRes Compliance Calculator'!H85="","",IF('NonRes Compliance Calculator'!H85&gt;3000,"CCT too high,",""))</f>
        <v/>
      </c>
      <c r="I33" s="10" t="str">
        <f>IF('NonRes Compliance Calculator'!H85="","",IF('NonRes Compliance Calculator'!H85&lt;2700,"CCT too low,",""))</f>
        <v/>
      </c>
      <c r="J33" s="70"/>
      <c r="K33" s="56"/>
      <c r="L33" s="10" t="str">
        <f>IF('NonRes Compliance Calculator'!K85&lt;='NonRes Compliance Calculator'!J85,"","Exceeds allowed mounting height,")</f>
        <v/>
      </c>
      <c r="M33" s="65"/>
      <c r="N33" s="66"/>
      <c r="O33" s="66"/>
      <c r="S33" t="str">
        <f t="shared" si="0"/>
        <v>Pass</v>
      </c>
      <c r="T33" t="b">
        <f>COUNTBLANK('NonRes Compliance Calculator'!C84:K84)+COUNTBLANK('NonRes Compliance Calculator'!O84)&gt;0</f>
        <v>1</v>
      </c>
      <c r="U33" t="str">
        <f>IF(Proposed_analysis9[[#This Row],[Info?]]=FALSE,Proposed_analysis9[[#This Row],[PASS/FAIL]],"More info needed")</f>
        <v>More info needed</v>
      </c>
    </row>
    <row r="34" spans="1:21" x14ac:dyDescent="0.3">
      <c r="A34" s="10">
        <f>'NonRes Compliance Calculator'!D86</f>
        <v>0</v>
      </c>
      <c r="B34" s="10">
        <f>'NonRes Compliance Calculator'!E86</f>
        <v>0</v>
      </c>
      <c r="C34" s="10" t="str">
        <f>'NonRes Compliance Calculator'!C86</f>
        <v>Outdoor Dining</v>
      </c>
      <c r="D34" s="10">
        <f>'NonRes Compliance Calculator'!J84</f>
        <v>0</v>
      </c>
      <c r="E34" s="10" t="str">
        <f>IF(AND(OR(A34='Non-res - Ordinance Values'!$B$16,A34='Non-res - Ordinance Values'!$B$17,A34='Non-res - Ordinance Values'!$B$19),OR(D34='Non-res - Ordinance Values'!$B$4,D34='Non-res - Ordinance Values'!$B$5,D34='Non-res - Ordinance Values'!$B$8,D34='Non-res - Ordinance Values'!$B$9,D34='Non-res - Ordinance Values'!$B$12)),"Unapproved use of unshielded or partially shielded fixtures, ","")</f>
        <v/>
      </c>
      <c r="F34" s="10" t="str" cm="1">
        <f t="array" ref="F34">_xlfn.IFNA(IF('NonRes Compliance Calculator'!D86='Non-res - Ordinance Values'!$B$20,"",(IF('NonRes Compliance Calculator'!F86&gt;VLOOKUP('NonRes Compliance Calculator'!D86,'Non-res - Ordinance Values'!$B$16:$F$21,_xlfn.IFS('NonRes Compliance Calculator'!$D$27="LZ1",3,'NonRes Compliance Calculator'!$D$27="LZ2",4),FALSE),"Lumens exceed limit,",""))),"")</f>
        <v/>
      </c>
      <c r="G34" s="56"/>
      <c r="H34" s="57" t="str">
        <f>IF('NonRes Compliance Calculator'!H86="","",IF('NonRes Compliance Calculator'!H86&gt;3000,"CCT too high,",""))</f>
        <v/>
      </c>
      <c r="I34" s="10" t="str">
        <f>IF('NonRes Compliance Calculator'!H86="","",IF('NonRes Compliance Calculator'!H86&lt;2700,"CCT too low,",""))</f>
        <v/>
      </c>
      <c r="J34" s="70"/>
      <c r="K34" s="56"/>
      <c r="L34" s="10" t="str">
        <f>IF('NonRes Compliance Calculator'!K86&lt;='NonRes Compliance Calculator'!J86,"","Exceeds allowed mounting height,")</f>
        <v/>
      </c>
      <c r="M34" s="65"/>
      <c r="N34" s="66"/>
      <c r="O34" s="66"/>
      <c r="S34" t="str">
        <f t="shared" si="0"/>
        <v>Pass</v>
      </c>
      <c r="T34" t="b">
        <f>COUNTBLANK('NonRes Compliance Calculator'!C85:K85)+COUNTBLANK('NonRes Compliance Calculator'!O85)&gt;0</f>
        <v>1</v>
      </c>
      <c r="U34" t="str">
        <f>IF(Proposed_analysis9[[#This Row],[Info?]]=FALSE,Proposed_analysis9[[#This Row],[PASS/FAIL]],"More info needed")</f>
        <v>More info needed</v>
      </c>
    </row>
    <row r="35" spans="1:21" x14ac:dyDescent="0.3">
      <c r="A35" s="10">
        <f>'NonRes Compliance Calculator'!D87</f>
        <v>0</v>
      </c>
      <c r="B35" s="10">
        <f>'NonRes Compliance Calculator'!E87</f>
        <v>0</v>
      </c>
      <c r="C35" s="10">
        <f>'NonRes Compliance Calculator'!C87</f>
        <v>0</v>
      </c>
      <c r="D35" s="10">
        <f>'NonRes Compliance Calculator'!J85</f>
        <v>0</v>
      </c>
      <c r="E35" s="10" t="str">
        <f>IF(AND(OR(A35='Non-res - Ordinance Values'!$B$16,A35='Non-res - Ordinance Values'!$B$17,A35='Non-res - Ordinance Values'!$B$19),OR(D35='Non-res - Ordinance Values'!$B$4,D35='Non-res - Ordinance Values'!$B$5,D35='Non-res - Ordinance Values'!$B$8,D35='Non-res - Ordinance Values'!$B$9,D35='Non-res - Ordinance Values'!$B$12)),"Unapproved use of unshielded or partially shielded fixtures, ","")</f>
        <v/>
      </c>
      <c r="F35" s="10" t="str" cm="1">
        <f t="array" ref="F35">_xlfn.IFNA(IF('NonRes Compliance Calculator'!D87='Non-res - Ordinance Values'!$B$20,"",(IF('NonRes Compliance Calculator'!F87&gt;VLOOKUP('NonRes Compliance Calculator'!D87,'Non-res - Ordinance Values'!$B$16:$F$21,_xlfn.IFS('NonRes Compliance Calculator'!$D$27="LZ1",3,'NonRes Compliance Calculator'!$D$27="LZ2",4),FALSE),"Lumens exceed limit,",""))),"")</f>
        <v/>
      </c>
      <c r="G35" s="56"/>
      <c r="H35" s="57" t="str">
        <f>IF('NonRes Compliance Calculator'!H87="","",IF('NonRes Compliance Calculator'!H87&gt;3000,"CCT too high,",""))</f>
        <v/>
      </c>
      <c r="I35" s="10" t="str">
        <f>IF('NonRes Compliance Calculator'!H87="","",IF('NonRes Compliance Calculator'!H87&lt;2700,"CCT too low,",""))</f>
        <v/>
      </c>
      <c r="J35" s="70"/>
      <c r="K35" s="56"/>
      <c r="L35" s="10" t="str">
        <f>IF('NonRes Compliance Calculator'!K87&lt;='NonRes Compliance Calculator'!J87,"","Exceeds allowed mounting height,")</f>
        <v/>
      </c>
      <c r="M35" s="65"/>
      <c r="N35" s="66"/>
      <c r="O35" s="66"/>
      <c r="S35" t="str">
        <f t="shared" si="0"/>
        <v>Pass</v>
      </c>
      <c r="T35" t="b">
        <f>COUNTBLANK('NonRes Compliance Calculator'!C86:K86)+COUNTBLANK('NonRes Compliance Calculator'!O86)&gt;0</f>
        <v>1</v>
      </c>
      <c r="U35" t="str">
        <f>IF(Proposed_analysis9[[#This Row],[Info?]]=FALSE,Proposed_analysis9[[#This Row],[PASS/FAIL]],"More info needed")</f>
        <v>More info needed</v>
      </c>
    </row>
    <row r="36" spans="1:21" x14ac:dyDescent="0.3">
      <c r="A36" s="10" t="e">
        <f>'NonRes Compliance Calculator'!#REF!</f>
        <v>#REF!</v>
      </c>
      <c r="B36" s="10" t="e">
        <f>'NonRes Compliance Calculator'!#REF!</f>
        <v>#REF!</v>
      </c>
      <c r="C36" s="10" t="e">
        <f>'NonRes Compliance Calculator'!#REF!</f>
        <v>#REF!</v>
      </c>
      <c r="D36" s="10">
        <f>'NonRes Compliance Calculator'!J86</f>
        <v>0</v>
      </c>
      <c r="E36" s="10" t="e">
        <f>IF(AND(OR(A36='Non-res - Ordinance Values'!$B$16,A36='Non-res - Ordinance Values'!$B$17,A36='Non-res - Ordinance Values'!$B$19),OR(D36='Non-res - Ordinance Values'!$B$4,D36='Non-res - Ordinance Values'!$B$5,D36='Non-res - Ordinance Values'!$B$8,D36='Non-res - Ordinance Values'!$B$9,D36='Non-res - Ordinance Values'!$B$12)),"Unapproved use of unshielded or partially shielded fixtures, ","")</f>
        <v>#REF!</v>
      </c>
      <c r="F36" s="10" t="e" cm="1">
        <f t="array" ref="F36">_xlfn.IFNA(IF('NonRes Compliance Calculator'!#REF!='Non-res - Ordinance Values'!$B$20,"",(IF('NonRes Compliance Calculator'!#REF!&gt;VLOOKUP('NonRes Compliance Calculator'!#REF!,'Non-res - Ordinance Values'!$B$16:$F$21,_xlfn.IFS('NonRes Compliance Calculator'!$D$27="LZ1",3,'NonRes Compliance Calculator'!$D$27="LZ2",4),FALSE),"Lumens exceed limit,",""))),"")</f>
        <v>#REF!</v>
      </c>
      <c r="G36" s="56"/>
      <c r="H36" s="57" t="e">
        <f>IF('NonRes Compliance Calculator'!#REF!="","",IF('NonRes Compliance Calculator'!#REF!&gt;3000,"CCT too high,",""))</f>
        <v>#REF!</v>
      </c>
      <c r="I36" s="10" t="e">
        <f>IF('NonRes Compliance Calculator'!#REF!="","",IF('NonRes Compliance Calculator'!#REF!&lt;2700,"CCT too low,",""))</f>
        <v>#REF!</v>
      </c>
      <c r="J36" s="70"/>
      <c r="K36" s="56"/>
      <c r="L36" s="10" t="e">
        <f>IF('NonRes Compliance Calculator'!#REF!&lt;='NonRes Compliance Calculator'!#REF!,"","Exceeds allowed mounting height,")</f>
        <v>#REF!</v>
      </c>
      <c r="M36" s="65"/>
      <c r="N36" s="66"/>
      <c r="O36" s="66"/>
      <c r="S36" t="str">
        <f t="shared" si="0"/>
        <v>Pass</v>
      </c>
      <c r="T36" t="b">
        <f>COUNTBLANK('NonRes Compliance Calculator'!C87:K87)+COUNTBLANK('NonRes Compliance Calculator'!O87)&gt;0</f>
        <v>1</v>
      </c>
      <c r="U36" t="str">
        <f>IF(Proposed_analysis9[[#This Row],[Info?]]=FALSE,Proposed_analysis9[[#This Row],[PASS/FAIL]],"More info needed")</f>
        <v>More info needed</v>
      </c>
    </row>
    <row r="37" spans="1:21" x14ac:dyDescent="0.3">
      <c r="A37" s="10" t="e">
        <f>'NonRes Compliance Calculator'!#REF!</f>
        <v>#REF!</v>
      </c>
      <c r="B37" s="10" t="e">
        <f>'NonRes Compliance Calculator'!#REF!</f>
        <v>#REF!</v>
      </c>
      <c r="C37" s="10" t="e">
        <f>'NonRes Compliance Calculator'!#REF!</f>
        <v>#REF!</v>
      </c>
      <c r="D37" s="10">
        <f>'NonRes Compliance Calculator'!J87</f>
        <v>0</v>
      </c>
      <c r="E37" s="10" t="e">
        <f>IF(AND(OR(A37='Non-res - Ordinance Values'!$B$16,A37='Non-res - Ordinance Values'!$B$17,A37='Non-res - Ordinance Values'!$B$19),OR(D37='Non-res - Ordinance Values'!$B$4,D37='Non-res - Ordinance Values'!$B$5,D37='Non-res - Ordinance Values'!$B$8,D37='Non-res - Ordinance Values'!$B$9,D37='Non-res - Ordinance Values'!$B$12)),"Unapproved use of unshielded or partially shielded fixtures, ","")</f>
        <v>#REF!</v>
      </c>
      <c r="F37" s="10" t="e" cm="1">
        <f t="array" ref="F37">_xlfn.IFNA(IF('NonRes Compliance Calculator'!#REF!='Non-res - Ordinance Values'!$B$20,"",(IF('NonRes Compliance Calculator'!#REF!&gt;VLOOKUP('NonRes Compliance Calculator'!#REF!,'Non-res - Ordinance Values'!$B$16:$F$21,_xlfn.IFS('NonRes Compliance Calculator'!$D$27="LZ1",3,'NonRes Compliance Calculator'!$D$27="LZ2",4),FALSE),"Lumens exceed limit,",""))),"")</f>
        <v>#REF!</v>
      </c>
      <c r="G37" s="56"/>
      <c r="H37" s="57" t="e">
        <f>IF('NonRes Compliance Calculator'!#REF!="","",IF('NonRes Compliance Calculator'!#REF!&gt;3000,"CCT too high,",""))</f>
        <v>#REF!</v>
      </c>
      <c r="I37" s="10" t="e">
        <f>IF('NonRes Compliance Calculator'!#REF!="","",IF('NonRes Compliance Calculator'!#REF!&lt;2700,"CCT too low,",""))</f>
        <v>#REF!</v>
      </c>
      <c r="J37" s="70"/>
      <c r="K37" s="56"/>
      <c r="L37" s="10" t="e">
        <f>IF('NonRes Compliance Calculator'!#REF!&lt;='NonRes Compliance Calculator'!#REF!,"","Exceeds allowed mounting height,")</f>
        <v>#REF!</v>
      </c>
      <c r="M37" s="65"/>
      <c r="N37" s="66"/>
      <c r="O37" s="66"/>
      <c r="S37" t="str">
        <f t="shared" si="0"/>
        <v>Pass</v>
      </c>
      <c r="T37" t="b">
        <f>COUNTBLANK('NonRes Compliance Calculator'!C88:L88)+COUNTBLANK('NonRes Compliance Calculator'!P88)&gt;0</f>
        <v>1</v>
      </c>
      <c r="U37" t="str">
        <f>IF(Proposed_analysis9[[#This Row],[Info?]]=FALSE,Proposed_analysis9[[#This Row],[PASS/FAIL]],"More info needed")</f>
        <v>More info needed</v>
      </c>
    </row>
    <row r="38" spans="1:21" x14ac:dyDescent="0.3">
      <c r="A38" s="10">
        <f>'NonRes Compliance Calculator'!D93</f>
        <v>0</v>
      </c>
      <c r="B38" s="10">
        <f>'NonRes Compliance Calculator'!E93</f>
        <v>0</v>
      </c>
      <c r="C38" s="10">
        <f>'NonRes Compliance Calculator'!C93</f>
        <v>0</v>
      </c>
      <c r="D38" s="10">
        <f>'NonRes Compliance Calculator'!J88</f>
        <v>0</v>
      </c>
      <c r="E38" s="10" t="str">
        <f>IF(AND(OR(A38='Non-res - Ordinance Values'!$B$16,A38='Non-res - Ordinance Values'!$B$17,A38='Non-res - Ordinance Values'!$B$19),OR(D38='Non-res - Ordinance Values'!$B$4,D38='Non-res - Ordinance Values'!$B$5,D38='Non-res - Ordinance Values'!$B$8,D38='Non-res - Ordinance Values'!$B$9,D38='Non-res - Ordinance Values'!$B$12)),"Unapproved use of unshielded or partially shielded fixtures, ","")</f>
        <v/>
      </c>
      <c r="F38" s="10" t="str" cm="1">
        <f t="array" ref="F38">_xlfn.IFNA(IF('NonRes Compliance Calculator'!D93='Non-res - Ordinance Values'!$B$20,"",(IF('NonRes Compliance Calculator'!F93&gt;VLOOKUP('NonRes Compliance Calculator'!D93,'Non-res - Ordinance Values'!$B$16:$F$21,_xlfn.IFS('NonRes Compliance Calculator'!$D$27="LZ1",3,'NonRes Compliance Calculator'!$D$27="LZ2",4),FALSE),"Lumens exceed limit,",""))),"")</f>
        <v/>
      </c>
      <c r="G38" s="56"/>
      <c r="H38" s="57" t="str">
        <f>IF('NonRes Compliance Calculator'!I93="","",IF('NonRes Compliance Calculator'!I93&gt;3000,"CCT too high,",""))</f>
        <v/>
      </c>
      <c r="I38" s="10" t="str">
        <f>IF('NonRes Compliance Calculator'!I93="","",IF('NonRes Compliance Calculator'!I93&lt;2700,"CCT too low,",""))</f>
        <v/>
      </c>
      <c r="J38" s="70"/>
      <c r="K38" s="56"/>
      <c r="L38" s="10" t="str">
        <f>IF('NonRes Compliance Calculator'!L93&lt;='NonRes Compliance Calculator'!K93,"","Exceeds allowed mounting height,")</f>
        <v/>
      </c>
      <c r="M38" s="65"/>
      <c r="N38" s="66"/>
      <c r="O38" s="66"/>
      <c r="S38" t="str">
        <f t="shared" ref="S38:S56" si="1">IF(COUNTIF(E38:L38,"?*")&gt;0,"Fail","Pass")</f>
        <v>Pass</v>
      </c>
      <c r="T38" t="b">
        <f>COUNTBLANK('NonRes Compliance Calculator'!C89:L89)+COUNTBLANK('NonRes Compliance Calculator'!P89)&gt;0</f>
        <v>1</v>
      </c>
      <c r="U38" t="str">
        <f>IF(Proposed_analysis9[[#This Row],[Info?]]=FALSE,Proposed_analysis9[[#This Row],[PASS/FAIL]],"More info needed")</f>
        <v>More info needed</v>
      </c>
    </row>
    <row r="39" spans="1:21" x14ac:dyDescent="0.3">
      <c r="A39" s="10" t="e">
        <f>'NonRes Compliance Calculator'!#REF!</f>
        <v>#REF!</v>
      </c>
      <c r="B39" s="10" t="e">
        <f>'NonRes Compliance Calculator'!#REF!</f>
        <v>#REF!</v>
      </c>
      <c r="C39" s="10" t="e">
        <f>'NonRes Compliance Calculator'!#REF!</f>
        <v>#REF!</v>
      </c>
      <c r="D39" s="10">
        <f>'NonRes Compliance Calculator'!J89</f>
        <v>0</v>
      </c>
      <c r="E39" s="10" t="e">
        <f>IF(AND(OR(A39='Non-res - Ordinance Values'!$B$16,A39='Non-res - Ordinance Values'!$B$17,A39='Non-res - Ordinance Values'!$B$19),OR(D39='Non-res - Ordinance Values'!$B$4,D39='Non-res - Ordinance Values'!$B$5,D39='Non-res - Ordinance Values'!$B$8,D39='Non-res - Ordinance Values'!$B$9,D39='Non-res - Ordinance Values'!$B$12)),"Unapproved use of unshielded or partially shielded fixtures, ","")</f>
        <v>#REF!</v>
      </c>
      <c r="F39" s="10" t="e" cm="1">
        <f t="array" ref="F39">_xlfn.IFNA(IF('NonRes Compliance Calculator'!#REF!='Non-res - Ordinance Values'!$B$20,"",(IF('NonRes Compliance Calculator'!#REF!&gt;VLOOKUP('NonRes Compliance Calculator'!#REF!,'Non-res - Ordinance Values'!$B$16:$F$21,_xlfn.IFS('NonRes Compliance Calculator'!$D$27="LZ1",3,'NonRes Compliance Calculator'!$D$27="LZ2",4),FALSE),"Lumens exceed limit,",""))),"")</f>
        <v>#REF!</v>
      </c>
      <c r="G39" s="56"/>
      <c r="H39" s="57" t="e">
        <f>IF('NonRes Compliance Calculator'!#REF!="","",IF('NonRes Compliance Calculator'!#REF!&gt;3000,"CCT too high,",""))</f>
        <v>#REF!</v>
      </c>
      <c r="I39" s="10" t="e">
        <f>IF('NonRes Compliance Calculator'!#REF!="","",IF('NonRes Compliance Calculator'!#REF!&lt;2700,"CCT too low,",""))</f>
        <v>#REF!</v>
      </c>
      <c r="J39" s="70"/>
      <c r="K39" s="56"/>
      <c r="L39" s="10" t="e">
        <f>IF('NonRes Compliance Calculator'!#REF!&lt;='NonRes Compliance Calculator'!#REF!,"","Exceeds allowed mounting height,")</f>
        <v>#REF!</v>
      </c>
      <c r="M39" s="65"/>
      <c r="N39" s="66"/>
      <c r="O39" s="66"/>
      <c r="S39" t="str">
        <f t="shared" si="1"/>
        <v>Pass</v>
      </c>
      <c r="T39" t="b">
        <f>COUNTBLANK('NonRes Compliance Calculator'!C90:L90)+COUNTBLANK('NonRes Compliance Calculator'!P90)&gt;0</f>
        <v>1</v>
      </c>
      <c r="U39" t="str">
        <f>IF(Proposed_analysis9[[#This Row],[Info?]]=FALSE,Proposed_analysis9[[#This Row],[PASS/FAIL]],"More info needed")</f>
        <v>More info needed</v>
      </c>
    </row>
    <row r="40" spans="1:21" x14ac:dyDescent="0.3">
      <c r="A40" s="10" t="str">
        <f>'NonRes Compliance Calculator'!D89</f>
        <v>No</v>
      </c>
      <c r="B40" s="10" t="str">
        <f>'NonRes Compliance Calculator'!E89</f>
        <v>Only fill out existing parcel analysis if proposed parcel does not comply</v>
      </c>
      <c r="C40" s="10" t="str">
        <f>'NonRes Compliance Calculator'!C89</f>
        <v>Scope triggers entire property into compliance?</v>
      </c>
      <c r="D40" s="10">
        <f>'NonRes Compliance Calculator'!J90</f>
        <v>0</v>
      </c>
      <c r="E40" s="10" t="str">
        <f>IF(AND(OR(A40='Non-res - Ordinance Values'!$B$16,A40='Non-res - Ordinance Values'!$B$17,A40='Non-res - Ordinance Values'!$B$19),OR(D40='Non-res - Ordinance Values'!$B$4,D40='Non-res - Ordinance Values'!$B$5,D40='Non-res - Ordinance Values'!$B$8,D40='Non-res - Ordinance Values'!$B$9,D40='Non-res - Ordinance Values'!$B$12)),"Unapproved use of unshielded or partially shielded fixtures, ","")</f>
        <v/>
      </c>
      <c r="F40" s="10" t="str" cm="1">
        <f t="array" ref="F40">_xlfn.IFNA(IF('NonRes Compliance Calculator'!D89='Non-res - Ordinance Values'!$B$20,"",(IF('NonRes Compliance Calculator'!F89&gt;VLOOKUP('NonRes Compliance Calculator'!D89,'Non-res - Ordinance Values'!$B$16:$F$21,_xlfn.IFS('NonRes Compliance Calculator'!$D$27="LZ1",3,'NonRes Compliance Calculator'!$D$27="LZ2",4),FALSE),"Lumens exceed limit,",""))),"")</f>
        <v/>
      </c>
      <c r="G40" s="56"/>
      <c r="H40" s="57" t="str">
        <f>IF('NonRes Compliance Calculator'!I89="","",IF('NonRes Compliance Calculator'!I89&gt;3000,"CCT too high,",""))</f>
        <v/>
      </c>
      <c r="I40" s="10" t="str">
        <f>IF('NonRes Compliance Calculator'!I89="","",IF('NonRes Compliance Calculator'!I89&lt;2700,"CCT too low,",""))</f>
        <v/>
      </c>
      <c r="J40" s="70"/>
      <c r="K40" s="56"/>
      <c r="L40" s="10" t="str">
        <f>IF('NonRes Compliance Calculator'!L89&lt;='NonRes Compliance Calculator'!K89,"","Exceeds allowed mounting height,")</f>
        <v/>
      </c>
      <c r="M40" s="65"/>
      <c r="N40" s="66"/>
      <c r="O40" s="66"/>
      <c r="S40" t="str">
        <f t="shared" si="1"/>
        <v>Pass</v>
      </c>
      <c r="T40" t="b">
        <f>COUNTBLANK('NonRes Compliance Calculator'!C91:L91)+COUNTBLANK('NonRes Compliance Calculator'!P91)&gt;0</f>
        <v>1</v>
      </c>
      <c r="U40" t="str">
        <f>IF(Proposed_analysis9[[#This Row],[Info?]]=FALSE,Proposed_analysis9[[#This Row],[PASS/FAIL]],"More info needed")</f>
        <v>More info needed</v>
      </c>
    </row>
    <row r="41" spans="1:21" x14ac:dyDescent="0.3">
      <c r="A41" s="10" t="e">
        <f>'NonRes Compliance Calculator'!#REF!</f>
        <v>#REF!</v>
      </c>
      <c r="B41" s="10" t="e">
        <f>'NonRes Compliance Calculator'!#REF!</f>
        <v>#REF!</v>
      </c>
      <c r="C41" s="10" t="e">
        <f>'NonRes Compliance Calculator'!#REF!</f>
        <v>#REF!</v>
      </c>
      <c r="D41" s="10">
        <f>'NonRes Compliance Calculator'!J91</f>
        <v>0</v>
      </c>
      <c r="E41" s="10" t="e">
        <f>IF(AND(OR(A41='Non-res - Ordinance Values'!$B$16,A41='Non-res - Ordinance Values'!$B$17,A41='Non-res - Ordinance Values'!$B$19),OR(D41='Non-res - Ordinance Values'!$B$4,D41='Non-res - Ordinance Values'!$B$5,D41='Non-res - Ordinance Values'!$B$8,D41='Non-res - Ordinance Values'!$B$9,D41='Non-res - Ordinance Values'!$B$12)),"Unapproved use of unshielded or partially shielded fixtures, ","")</f>
        <v>#REF!</v>
      </c>
      <c r="F41" s="10" t="e" cm="1">
        <f t="array" ref="F41">_xlfn.IFNA(IF('NonRes Compliance Calculator'!#REF!='Non-res - Ordinance Values'!$B$20,"",(IF('NonRes Compliance Calculator'!#REF!&gt;VLOOKUP('NonRes Compliance Calculator'!#REF!,'Non-res - Ordinance Values'!$B$16:$F$21,_xlfn.IFS('NonRes Compliance Calculator'!$D$27="LZ1",3,'NonRes Compliance Calculator'!$D$27="LZ2",4),FALSE),"Lumens exceed limit,",""))),"")</f>
        <v>#REF!</v>
      </c>
      <c r="G41" s="56"/>
      <c r="H41" s="57" t="e">
        <f>IF('NonRes Compliance Calculator'!#REF!="","",IF('NonRes Compliance Calculator'!#REF!&gt;3000,"CCT too high,",""))</f>
        <v>#REF!</v>
      </c>
      <c r="I41" s="10" t="e">
        <f>IF('NonRes Compliance Calculator'!#REF!="","",IF('NonRes Compliance Calculator'!#REF!&lt;2700,"CCT too low,",""))</f>
        <v>#REF!</v>
      </c>
      <c r="J41" s="70"/>
      <c r="K41" s="56"/>
      <c r="L41" s="10" t="e">
        <f>IF('NonRes Compliance Calculator'!#REF!&lt;='NonRes Compliance Calculator'!#REF!,"","Exceeds allowed mounting height,")</f>
        <v>#REF!</v>
      </c>
      <c r="M41" s="65"/>
      <c r="N41" s="66"/>
      <c r="O41" s="66"/>
      <c r="S41" t="str">
        <f t="shared" si="1"/>
        <v>Pass</v>
      </c>
      <c r="T41" t="b">
        <f>COUNTBLANK('NonRes Compliance Calculator'!C93:L93)+COUNTBLANK('NonRes Compliance Calculator'!P93)&gt;0</f>
        <v>1</v>
      </c>
      <c r="U41" t="str">
        <f>IF(Proposed_analysis9[[#This Row],[Info?]]=FALSE,Proposed_analysis9[[#This Row],[PASS/FAIL]],"More info needed")</f>
        <v>More info needed</v>
      </c>
    </row>
    <row r="42" spans="1:21" x14ac:dyDescent="0.3">
      <c r="A42" s="10">
        <f>'NonRes Compliance Calculator'!D95</f>
        <v>0</v>
      </c>
      <c r="B42" s="10">
        <f>'NonRes Compliance Calculator'!E95</f>
        <v>0</v>
      </c>
      <c r="C42" s="10" t="str">
        <f>'NonRes Compliance Calculator'!C95</f>
        <v xml:space="preserve">If the scope does not trigger the entire property into compliance, only new and replaced fixtures need to comply with the adopted regulations. Non-conformities cannot be increased - the proposed lumens on the site must decrease (or conform), the percentage of unshielded/partially shielded fixtures must decrease (or conform), and any new or replaced fixtures must conform with shielding requirements. If the proposal decreases the non-conformity but does not eliminate it, this table must be filled out. </v>
      </c>
      <c r="D42" s="10">
        <f>'NonRes Compliance Calculator'!J93</f>
        <v>0</v>
      </c>
      <c r="E42" s="10" t="str">
        <f>IF(AND(OR(A42='Non-res - Ordinance Values'!$B$16,A42='Non-res - Ordinance Values'!$B$17,A42='Non-res - Ordinance Values'!$B$19),OR(D42='Non-res - Ordinance Values'!$B$4,D42='Non-res - Ordinance Values'!$B$5,D42='Non-res - Ordinance Values'!$B$8,D42='Non-res - Ordinance Values'!$B$9,D42='Non-res - Ordinance Values'!$B$12)),"Unapproved use of unshielded or partially shielded fixtures, ","")</f>
        <v/>
      </c>
      <c r="F42" s="10" t="str" cm="1">
        <f t="array" ref="F42">_xlfn.IFNA(IF('NonRes Compliance Calculator'!D95='Non-res - Ordinance Values'!$B$20,"",(IF('NonRes Compliance Calculator'!F95&gt;VLOOKUP('NonRes Compliance Calculator'!D95,'Non-res - Ordinance Values'!$B$16:$F$21,_xlfn.IFS('NonRes Compliance Calculator'!$D$27="LZ1",3,'NonRes Compliance Calculator'!$D$27="LZ2",4),FALSE),"Lumens exceed limit,",""))),"")</f>
        <v/>
      </c>
      <c r="G42" s="56"/>
      <c r="H42" s="57" t="str">
        <f>IF('NonRes Compliance Calculator'!I95="","",IF('NonRes Compliance Calculator'!I95&gt;3000,"CCT too high,",""))</f>
        <v/>
      </c>
      <c r="I42" s="10" t="str">
        <f>IF('NonRes Compliance Calculator'!I95="","",IF('NonRes Compliance Calculator'!I95&lt;2700,"CCT too low,",""))</f>
        <v/>
      </c>
      <c r="J42" s="70"/>
      <c r="K42" s="56"/>
      <c r="L42" s="10" t="str">
        <f>IF('NonRes Compliance Calculator'!L95&lt;='NonRes Compliance Calculator'!K95,"","Exceeds allowed mounting height,")</f>
        <v/>
      </c>
      <c r="M42" s="65"/>
      <c r="N42" s="66"/>
      <c r="O42" s="66"/>
      <c r="S42" t="str">
        <f t="shared" si="1"/>
        <v>Pass</v>
      </c>
      <c r="T42" t="e">
        <f>COUNTBLANK('NonRes Compliance Calculator'!#REF!)+COUNTBLANK('NonRes Compliance Calculator'!#REF!)&gt;0</f>
        <v>#REF!</v>
      </c>
      <c r="U42" t="e">
        <f>IF(Proposed_analysis9[[#This Row],[Info?]]=FALSE,Proposed_analysis9[[#This Row],[PASS/FAIL]],"More info needed")</f>
        <v>#REF!</v>
      </c>
    </row>
    <row r="43" spans="1:21" x14ac:dyDescent="0.3">
      <c r="A43" s="10">
        <f>'NonRes Compliance Calculator'!D97</f>
        <v>0</v>
      </c>
      <c r="B43" s="10">
        <f>'NonRes Compliance Calculator'!E97</f>
        <v>0</v>
      </c>
      <c r="C43" s="10" t="str">
        <f>'NonRes Compliance Calculator'!C97</f>
        <v>Instructions: fill out yellow fields. Each different fixture type needs its own line. Please utilize drop down menus when applicable. If a fixture does not fit into a "mounting type fixture/application", choose "other".  Reach out to comdevzoning@aspen.gov if more than 10 fixture types are proposed.</v>
      </c>
      <c r="D43" s="10" t="e">
        <f>'NonRes Compliance Calculator'!#REF!</f>
        <v>#REF!</v>
      </c>
      <c r="E43" s="10" t="e">
        <f>IF(AND(OR(A43='Non-res - Ordinance Values'!$B$16,A43='Non-res - Ordinance Values'!$B$17,A43='Non-res - Ordinance Values'!$B$19),OR(D43='Non-res - Ordinance Values'!$B$4,D43='Non-res - Ordinance Values'!$B$5,D43='Non-res - Ordinance Values'!$B$8,D43='Non-res - Ordinance Values'!$B$9,D43='Non-res - Ordinance Values'!$B$12)),"Unapproved use of unshielded or partially shielded fixtures, ","")</f>
        <v>#REF!</v>
      </c>
      <c r="F43" s="10" t="str" cm="1">
        <f t="array" ref="F43">_xlfn.IFNA(IF('NonRes Compliance Calculator'!D97='Non-res - Ordinance Values'!$B$20,"",(IF('NonRes Compliance Calculator'!F97&gt;VLOOKUP('NonRes Compliance Calculator'!D97,'Non-res - Ordinance Values'!$B$16:$F$21,_xlfn.IFS('NonRes Compliance Calculator'!$D$27="LZ1",3,'NonRes Compliance Calculator'!$D$27="LZ2",4),FALSE),"Lumens exceed limit,",""))),"")</f>
        <v/>
      </c>
      <c r="G43" s="56"/>
      <c r="H43" s="57" t="str">
        <f>IF('NonRes Compliance Calculator'!I97="","",IF('NonRes Compliance Calculator'!I97&gt;3000,"CCT too high,",""))</f>
        <v/>
      </c>
      <c r="I43" s="10" t="str">
        <f>IF('NonRes Compliance Calculator'!I97="","",IF('NonRes Compliance Calculator'!I97&lt;2700,"CCT too low,",""))</f>
        <v/>
      </c>
      <c r="J43" s="70"/>
      <c r="K43" s="56"/>
      <c r="L43" s="10" t="str">
        <f>IF('NonRes Compliance Calculator'!L97&lt;='NonRes Compliance Calculator'!K97,"","Exceeds allowed mounting height,")</f>
        <v/>
      </c>
      <c r="M43" s="65"/>
      <c r="N43" s="66"/>
      <c r="O43" s="66"/>
      <c r="S43" t="str">
        <f t="shared" si="1"/>
        <v>Pass</v>
      </c>
      <c r="T43" t="b">
        <f>COUNTBLANK('NonRes Compliance Calculator'!C94:L94)+COUNTBLANK('NonRes Compliance Calculator'!P94)&gt;0</f>
        <v>1</v>
      </c>
      <c r="U43" t="str">
        <f>IF(Proposed_analysis9[[#This Row],[Info?]]=FALSE,Proposed_analysis9[[#This Row],[PASS/FAIL]],"More info needed")</f>
        <v>More info needed</v>
      </c>
    </row>
    <row r="44" spans="1:21" x14ac:dyDescent="0.3">
      <c r="A44" s="10">
        <f>'NonRes Compliance Calculator'!D98</f>
        <v>0</v>
      </c>
      <c r="B44" s="10">
        <f>'NonRes Compliance Calculator'!E98</f>
        <v>0</v>
      </c>
      <c r="C44" s="10">
        <f>'NonRes Compliance Calculator'!C98</f>
        <v>0</v>
      </c>
      <c r="D44" s="10">
        <f>'NonRes Compliance Calculator'!J94</f>
        <v>0</v>
      </c>
      <c r="E44" s="10" t="str">
        <f>IF(AND(OR(A44='Non-res - Ordinance Values'!$B$16,A44='Non-res - Ordinance Values'!$B$17,A44='Non-res - Ordinance Values'!$B$19),OR(D44='Non-res - Ordinance Values'!$B$4,D44='Non-res - Ordinance Values'!$B$5,D44='Non-res - Ordinance Values'!$B$8,D44='Non-res - Ordinance Values'!$B$9,D44='Non-res - Ordinance Values'!$B$12)),"Unapproved use of unshielded or partially shielded fixtures, ","")</f>
        <v/>
      </c>
      <c r="F44" s="10" t="str" cm="1">
        <f t="array" ref="F44">_xlfn.IFNA(IF('NonRes Compliance Calculator'!D98='Non-res - Ordinance Values'!$B$20,"",(IF('NonRes Compliance Calculator'!F98&gt;VLOOKUP('NonRes Compliance Calculator'!D98,'Non-res - Ordinance Values'!$B$16:$F$21,_xlfn.IFS('NonRes Compliance Calculator'!$D$27="LZ1",3,'NonRes Compliance Calculator'!$D$27="LZ2",4),FALSE),"Lumens exceed limit,",""))),"")</f>
        <v/>
      </c>
      <c r="G44" s="56"/>
      <c r="H44" s="57" t="str">
        <f>IF('NonRes Compliance Calculator'!I98="","",IF('NonRes Compliance Calculator'!I98&gt;3000,"CCT too high,",""))</f>
        <v/>
      </c>
      <c r="I44" s="10" t="str">
        <f>IF('NonRes Compliance Calculator'!I98="","",IF('NonRes Compliance Calculator'!I98&lt;2700,"CCT too low,",""))</f>
        <v/>
      </c>
      <c r="J44" s="70"/>
      <c r="K44" s="56"/>
      <c r="L44" s="10" t="str">
        <f>IF('NonRes Compliance Calculator'!L98&lt;='NonRes Compliance Calculator'!K98,"","Exceeds allowed mounting height,")</f>
        <v/>
      </c>
      <c r="M44" s="65"/>
      <c r="N44" s="66"/>
      <c r="O44" s="66"/>
      <c r="S44" t="str">
        <f t="shared" si="1"/>
        <v>Pass</v>
      </c>
      <c r="T44" t="b">
        <f>COUNTBLANK('NonRes Compliance Calculator'!C95:L95)+COUNTBLANK('NonRes Compliance Calculator'!P95)&gt;0</f>
        <v>1</v>
      </c>
      <c r="U44" t="str">
        <f>IF(Proposed_analysis9[[#This Row],[Info?]]=FALSE,Proposed_analysis9[[#This Row],[PASS/FAIL]],"More info needed")</f>
        <v>More info needed</v>
      </c>
    </row>
    <row r="45" spans="1:21" x14ac:dyDescent="0.3">
      <c r="A45" s="10" t="str">
        <f>'NonRes Compliance Calculator'!D99</f>
        <v>Fixture Type</v>
      </c>
      <c r="B45" s="10" t="str">
        <f>'NonRes Compliance Calculator'!F99</f>
        <v>Lumens</v>
      </c>
      <c r="C45" s="10" t="str">
        <f>'NonRes Compliance Calculator'!C99</f>
        <v>Fixture Label (as shown on lighting plan)</v>
      </c>
      <c r="D45" s="10">
        <f>'NonRes Compliance Calculator'!J95</f>
        <v>0</v>
      </c>
      <c r="E45" s="10" t="str">
        <f>IF(AND(OR(A45='Non-res - Ordinance Values'!$B$16,A45='Non-res - Ordinance Values'!$B$17,A45='Non-res - Ordinance Values'!$B$19),OR(D45='Non-res - Ordinance Values'!$B$4,D45='Non-res - Ordinance Values'!$B$5,D45='Non-res - Ordinance Values'!$B$8,D45='Non-res - Ordinance Values'!$B$9,D45='Non-res - Ordinance Values'!$B$12)),"Unapproved use of unshielded or partially shielded fixtures, ","")</f>
        <v/>
      </c>
      <c r="F45" s="10" t="str" cm="1">
        <f t="array" ref="F45">_xlfn.IFNA(IF('NonRes Compliance Calculator'!D99='Non-res - Ordinance Values'!$B$20,"",(IF('NonRes Compliance Calculator'!G99&gt;VLOOKUP('NonRes Compliance Calculator'!D99,'Non-res - Ordinance Values'!$B$16:$F$21,_xlfn.IFS('NonRes Compliance Calculator'!$D$27="LZ1",3,'NonRes Compliance Calculator'!$D$27="LZ2",4),FALSE),"Lumens exceed limit,",""))),"")</f>
        <v/>
      </c>
      <c r="G45" s="56"/>
      <c r="H45" s="57" t="str">
        <f>IF('NonRes Compliance Calculator'!J99="","",IF('NonRes Compliance Calculator'!J99&gt;3000,"CCT too high,",""))</f>
        <v>CCT too high,</v>
      </c>
      <c r="I45" s="10" t="str">
        <f>IF('NonRes Compliance Calculator'!J99="","",IF('NonRes Compliance Calculator'!J99&lt;2700,"CCT too low,",""))</f>
        <v/>
      </c>
      <c r="J45" s="70"/>
      <c r="K45" s="56"/>
      <c r="L45" s="10" t="e">
        <f>IF('NonRes Compliance Calculator'!#REF!&lt;='NonRes Compliance Calculator'!L99,"","Exceeds allowed mounting height,")</f>
        <v>#REF!</v>
      </c>
      <c r="M45" s="65"/>
      <c r="N45" s="66"/>
      <c r="O45" s="66"/>
      <c r="S45" t="str">
        <f t="shared" si="1"/>
        <v>Fail</v>
      </c>
      <c r="T45" t="b">
        <f>COUNTBLANK('NonRes Compliance Calculator'!C96:L96)+COUNTBLANK('NonRes Compliance Calculator'!P96)&gt;0</f>
        <v>1</v>
      </c>
      <c r="U45" t="str">
        <f>IF(Proposed_analysis9[[#This Row],[Info?]]=FALSE,Proposed_analysis9[[#This Row],[PASS/FAIL]],"More info needed")</f>
        <v>More info needed</v>
      </c>
    </row>
    <row r="46" spans="1:21" x14ac:dyDescent="0.3">
      <c r="A46" s="10" t="str">
        <f>'NonRes Compliance Calculator'!D100</f>
        <v>Choose from dropdown</v>
      </c>
      <c r="B46" s="10" t="e">
        <f>'NonRes Compliance Calculator'!#REF!</f>
        <v>#REF!</v>
      </c>
      <c r="C46" s="10">
        <f>'NonRes Compliance Calculator'!C100</f>
        <v>0</v>
      </c>
      <c r="D46" s="10">
        <f>'NonRes Compliance Calculator'!J96</f>
        <v>0</v>
      </c>
      <c r="E46" s="10" t="str">
        <f>IF(AND(OR(A46='Non-res - Ordinance Values'!$B$16,A46='Non-res - Ordinance Values'!$B$17,A46='Non-res - Ordinance Values'!$B$19),OR(D46='Non-res - Ordinance Values'!$B$4,D46='Non-res - Ordinance Values'!$B$5,D46='Non-res - Ordinance Values'!$B$8,D46='Non-res - Ordinance Values'!$B$9,D46='Non-res - Ordinance Values'!$B$12)),"Unapproved use of unshielded or partially shielded fixtures, ","")</f>
        <v/>
      </c>
      <c r="F46" s="10" t="str" cm="1">
        <f t="array" ref="F46">_xlfn.IFNA(IF('NonRes Compliance Calculator'!D100='Non-res - Ordinance Values'!$B$20,"",(IF('NonRes Compliance Calculator'!G100&gt;VLOOKUP('NonRes Compliance Calculator'!D100,'Non-res - Ordinance Values'!$B$16:$F$21,_xlfn.IFS('NonRes Compliance Calculator'!$D$27="LZ1",3,'NonRes Compliance Calculator'!$D$27="LZ2",4),FALSE),"Lumens exceed limit,",""))),"")</f>
        <v/>
      </c>
      <c r="G46" s="56"/>
      <c r="H46" s="57" t="str">
        <f>IF('NonRes Compliance Calculator'!J100="","",IF('NonRes Compliance Calculator'!J100&gt;3000,"CCT too high,",""))</f>
        <v>CCT too high,</v>
      </c>
      <c r="I46" s="10" t="str">
        <f>IF('NonRes Compliance Calculator'!J100="","",IF('NonRes Compliance Calculator'!J100&lt;2700,"CCT too low,",""))</f>
        <v/>
      </c>
      <c r="J46" s="70"/>
      <c r="K46" s="56"/>
      <c r="L46" s="10" t="e">
        <f>IF('NonRes Compliance Calculator'!#REF!&lt;='NonRes Compliance Calculator'!L100,"","Exceeds allowed mounting height,")</f>
        <v>#REF!</v>
      </c>
      <c r="M46" s="65"/>
      <c r="N46" s="66"/>
      <c r="O46" s="66"/>
      <c r="S46" t="str">
        <f t="shared" si="1"/>
        <v>Fail</v>
      </c>
      <c r="T46" t="b">
        <f>COUNTBLANK('NonRes Compliance Calculator'!C97:L97)+COUNTBLANK('NonRes Compliance Calculator'!P97)&gt;0</f>
        <v>1</v>
      </c>
      <c r="U46" t="str">
        <f>IF(Proposed_analysis9[[#This Row],[Info?]]=FALSE,Proposed_analysis9[[#This Row],[PASS/FAIL]],"More info needed")</f>
        <v>More info needed</v>
      </c>
    </row>
    <row r="47" spans="1:21" x14ac:dyDescent="0.3">
      <c r="A47" s="10">
        <f>'NonRes Compliance Calculator'!D101</f>
        <v>0</v>
      </c>
      <c r="B47" s="10">
        <f>'NonRes Compliance Calculator'!F101</f>
        <v>0</v>
      </c>
      <c r="C47" s="10">
        <f>'NonRes Compliance Calculator'!C101</f>
        <v>0</v>
      </c>
      <c r="D47" s="10">
        <f>'NonRes Compliance Calculator'!J97</f>
        <v>0</v>
      </c>
      <c r="E47" s="10" t="str">
        <f>IF(AND(OR(A47='Non-res - Ordinance Values'!$B$16,A47='Non-res - Ordinance Values'!$B$17,A47='Non-res - Ordinance Values'!$B$19),OR(D47='Non-res - Ordinance Values'!$B$4,D47='Non-res - Ordinance Values'!$B$5,D47='Non-res - Ordinance Values'!$B$8,D47='Non-res - Ordinance Values'!$B$9,D47='Non-res - Ordinance Values'!$B$12)),"Unapproved use of unshielded or partially shielded fixtures, ","")</f>
        <v/>
      </c>
      <c r="F47" s="10" t="str" cm="1">
        <f t="array" ref="F47">_xlfn.IFNA(IF('NonRes Compliance Calculator'!D101='Non-res - Ordinance Values'!$B$20,"",(IF('NonRes Compliance Calculator'!G101&gt;VLOOKUP('NonRes Compliance Calculator'!D101,'Non-res - Ordinance Values'!$B$16:$F$21,_xlfn.IFS('NonRes Compliance Calculator'!$D$27="LZ1",3,'NonRes Compliance Calculator'!$D$27="LZ2",4),FALSE),"Lumens exceed limit,",""))),"")</f>
        <v/>
      </c>
      <c r="G47" s="56"/>
      <c r="H47" s="57" t="str">
        <f>IF('NonRes Compliance Calculator'!J101="","",IF('NonRes Compliance Calculator'!J101&gt;3000,"CCT too high,",""))</f>
        <v/>
      </c>
      <c r="I47" s="10" t="str">
        <f>IF('NonRes Compliance Calculator'!J101="","",IF('NonRes Compliance Calculator'!J101&lt;2700,"CCT too low,",""))</f>
        <v/>
      </c>
      <c r="J47" s="70"/>
      <c r="K47" s="56"/>
      <c r="L47" s="10" t="e">
        <f>IF('NonRes Compliance Calculator'!#REF!&lt;='NonRes Compliance Calculator'!L101,"","Exceeds allowed mounting height,")</f>
        <v>#REF!</v>
      </c>
      <c r="M47" s="65"/>
      <c r="N47" s="66"/>
      <c r="O47" s="66"/>
      <c r="S47" t="str">
        <f t="shared" si="1"/>
        <v>Pass</v>
      </c>
      <c r="T47" t="b">
        <f>COUNTBLANK('NonRes Compliance Calculator'!C98:L98)+COUNTBLANK('NonRes Compliance Calculator'!P98)&gt;0</f>
        <v>1</v>
      </c>
      <c r="U47" t="str">
        <f>IF(Proposed_analysis9[[#This Row],[Info?]]=FALSE,Proposed_analysis9[[#This Row],[PASS/FAIL]],"More info needed")</f>
        <v>More info needed</v>
      </c>
    </row>
    <row r="48" spans="1:21" x14ac:dyDescent="0.3">
      <c r="A48" s="10">
        <f>'NonRes Compliance Calculator'!D102</f>
        <v>0</v>
      </c>
      <c r="B48" s="10">
        <f>'NonRes Compliance Calculator'!F102</f>
        <v>0</v>
      </c>
      <c r="C48" s="10">
        <f>'NonRes Compliance Calculator'!C102</f>
        <v>0</v>
      </c>
      <c r="D48" s="10">
        <f>'NonRes Compliance Calculator'!J98</f>
        <v>0</v>
      </c>
      <c r="E48" s="10" t="str">
        <f>IF(AND(OR(A48='Non-res - Ordinance Values'!$B$16,A48='Non-res - Ordinance Values'!$B$17,A48='Non-res - Ordinance Values'!$B$19),OR(D48='Non-res - Ordinance Values'!$B$4,D48='Non-res - Ordinance Values'!$B$5,D48='Non-res - Ordinance Values'!$B$8,D48='Non-res - Ordinance Values'!$B$9,D48='Non-res - Ordinance Values'!$B$12)),"Unapproved use of unshielded or partially shielded fixtures, ","")</f>
        <v/>
      </c>
      <c r="F48" s="10" t="str" cm="1">
        <f t="array" ref="F48">_xlfn.IFNA(IF('NonRes Compliance Calculator'!D102='Non-res - Ordinance Values'!$B$20,"",(IF('NonRes Compliance Calculator'!G102&gt;VLOOKUP('NonRes Compliance Calculator'!D102,'Non-res - Ordinance Values'!$B$16:$F$21,_xlfn.IFS('NonRes Compliance Calculator'!$D$27="LZ1",3,'NonRes Compliance Calculator'!$D$27="LZ2",4),FALSE),"Lumens exceed limit,",""))),"")</f>
        <v/>
      </c>
      <c r="G48" s="56"/>
      <c r="H48" s="57" t="str">
        <f>IF('NonRes Compliance Calculator'!J102="","",IF('NonRes Compliance Calculator'!J102&gt;3000,"CCT too high,",""))</f>
        <v/>
      </c>
      <c r="I48" s="10" t="str">
        <f>IF('NonRes Compliance Calculator'!J102="","",IF('NonRes Compliance Calculator'!J102&lt;2700,"CCT too low,",""))</f>
        <v/>
      </c>
      <c r="J48" s="70"/>
      <c r="K48" s="56"/>
      <c r="L48" s="10" t="e">
        <f>IF('NonRes Compliance Calculator'!#REF!&lt;='NonRes Compliance Calculator'!L102,"","Exceeds allowed mounting height,")</f>
        <v>#REF!</v>
      </c>
      <c r="M48" s="65"/>
      <c r="N48" s="66"/>
      <c r="O48" s="66"/>
      <c r="S48" t="str">
        <f t="shared" si="1"/>
        <v>Pass</v>
      </c>
      <c r="T48" t="b">
        <f>COUNTBLANK('NonRes Compliance Calculator'!C99:L99)+COUNTBLANK('NonRes Compliance Calculator'!N99)&gt;0</f>
        <v>0</v>
      </c>
      <c r="U48" t="str">
        <f>IF(Proposed_analysis9[[#This Row],[Info?]]=FALSE,Proposed_analysis9[[#This Row],[PASS/FAIL]],"More info needed")</f>
        <v>Pass</v>
      </c>
    </row>
    <row r="49" spans="1:21" x14ac:dyDescent="0.3">
      <c r="A49" s="10">
        <f>'NonRes Compliance Calculator'!D103</f>
        <v>0</v>
      </c>
      <c r="B49" s="10">
        <f>'NonRes Compliance Calculator'!F100</f>
        <v>0</v>
      </c>
      <c r="C49" s="10">
        <f>'NonRes Compliance Calculator'!C103</f>
        <v>0</v>
      </c>
      <c r="D49" s="10" t="str">
        <f>'NonRes Compliance Calculator'!K99</f>
        <v>Maximum Mounting Height (ft)</v>
      </c>
      <c r="E49" s="10" t="str">
        <f>IF(AND(OR(A49='Non-res - Ordinance Values'!$B$16,A49='Non-res - Ordinance Values'!$B$17,A49='Non-res - Ordinance Values'!$B$19),OR(D49='Non-res - Ordinance Values'!$B$4,D49='Non-res - Ordinance Values'!$B$5,D49='Non-res - Ordinance Values'!$B$8,D49='Non-res - Ordinance Values'!$B$9,D49='Non-res - Ordinance Values'!$B$12)),"Unapproved use of unshielded or partially shielded fixtures, ","")</f>
        <v/>
      </c>
      <c r="F49" s="10" t="str" cm="1">
        <f t="array" ref="F49">_xlfn.IFNA(IF('NonRes Compliance Calculator'!D103='Non-res - Ordinance Values'!$B$20,"",(IF('NonRes Compliance Calculator'!G103&gt;VLOOKUP('NonRes Compliance Calculator'!D103,'Non-res - Ordinance Values'!$B$16:$F$21,_xlfn.IFS('NonRes Compliance Calculator'!$D$27="LZ1",3,'NonRes Compliance Calculator'!$D$27="LZ2",4),FALSE),"Lumens exceed limit,",""))),"")</f>
        <v/>
      </c>
      <c r="G49" s="56"/>
      <c r="H49" s="57" t="str">
        <f>IF('NonRes Compliance Calculator'!J103="","",IF('NonRes Compliance Calculator'!J103&gt;3000,"CCT too high,",""))</f>
        <v/>
      </c>
      <c r="I49" s="10" t="str">
        <f>IF('NonRes Compliance Calculator'!J103="","",IF('NonRes Compliance Calculator'!J103&lt;2700,"CCT too low,",""))</f>
        <v/>
      </c>
      <c r="J49" s="70"/>
      <c r="K49" s="56"/>
      <c r="L49" s="10" t="e">
        <f>IF('NonRes Compliance Calculator'!#REF!&lt;='NonRes Compliance Calculator'!L103,"","Exceeds allowed mounting height,")</f>
        <v>#REF!</v>
      </c>
      <c r="M49" s="65"/>
      <c r="N49" s="66"/>
      <c r="O49" s="66"/>
      <c r="S49" t="str">
        <f t="shared" si="1"/>
        <v>Pass</v>
      </c>
      <c r="T49" t="b">
        <f>COUNTBLANK('NonRes Compliance Calculator'!C100:L100)+COUNTBLANK('NonRes Compliance Calculator'!N100)&gt;0</f>
        <v>1</v>
      </c>
      <c r="U49" t="str">
        <f>IF(Proposed_analysis9[[#This Row],[Info?]]=FALSE,Proposed_analysis9[[#This Row],[PASS/FAIL]],"More info needed")</f>
        <v>More info needed</v>
      </c>
    </row>
    <row r="50" spans="1:21" x14ac:dyDescent="0.3">
      <c r="A50" s="10">
        <f>'NonRes Compliance Calculator'!D104</f>
        <v>0</v>
      </c>
      <c r="B50" s="10">
        <f>'NonRes Compliance Calculator'!F104</f>
        <v>0</v>
      </c>
      <c r="C50" s="10">
        <f>'NonRes Compliance Calculator'!C104</f>
        <v>0</v>
      </c>
      <c r="D50" s="10" t="str">
        <f>'NonRes Compliance Calculator'!K100</f>
        <v/>
      </c>
      <c r="E50" s="10" t="str">
        <f>IF(AND(OR(A50='Non-res - Ordinance Values'!$B$16,A50='Non-res - Ordinance Values'!$B$17,A50='Non-res - Ordinance Values'!$B$19),OR(D50='Non-res - Ordinance Values'!$B$4,D50='Non-res - Ordinance Values'!$B$5,D50='Non-res - Ordinance Values'!$B$8,D50='Non-res - Ordinance Values'!$B$9,D50='Non-res - Ordinance Values'!$B$12)),"Unapproved use of unshielded or partially shielded fixtures, ","")</f>
        <v/>
      </c>
      <c r="F50" s="10" t="str" cm="1">
        <f t="array" ref="F50">_xlfn.IFNA(IF('NonRes Compliance Calculator'!D104='Non-res - Ordinance Values'!$B$20,"",(IF('NonRes Compliance Calculator'!G104&gt;VLOOKUP('NonRes Compliance Calculator'!D104,'Non-res - Ordinance Values'!$B$16:$F$21,_xlfn.IFS('NonRes Compliance Calculator'!$D$27="LZ1",3,'NonRes Compliance Calculator'!$D$27="LZ2",4),FALSE),"Lumens exceed limit,",""))),"")</f>
        <v/>
      </c>
      <c r="G50" s="56"/>
      <c r="H50" s="57" t="str">
        <f>IF('NonRes Compliance Calculator'!J104="","",IF('NonRes Compliance Calculator'!J104&gt;3000,"CCT too high,",""))</f>
        <v/>
      </c>
      <c r="I50" s="10" t="str">
        <f>IF('NonRes Compliance Calculator'!J104="","",IF('NonRes Compliance Calculator'!J104&lt;2700,"CCT too low,",""))</f>
        <v/>
      </c>
      <c r="J50" s="70"/>
      <c r="K50" s="56"/>
      <c r="L50" s="10" t="e">
        <f>IF('NonRes Compliance Calculator'!#REF!&lt;='NonRes Compliance Calculator'!L104,"","Exceeds allowed mounting height,")</f>
        <v>#REF!</v>
      </c>
      <c r="M50" s="65"/>
      <c r="N50" s="66"/>
      <c r="O50" s="66"/>
      <c r="S50" t="str">
        <f t="shared" si="1"/>
        <v>Pass</v>
      </c>
      <c r="T50" t="b">
        <f>COUNTBLANK('NonRes Compliance Calculator'!C101:L101)+COUNTBLANK('NonRes Compliance Calculator'!N101)&gt;0</f>
        <v>1</v>
      </c>
      <c r="U50" t="str">
        <f>IF(Proposed_analysis9[[#This Row],[Info?]]=FALSE,Proposed_analysis9[[#This Row],[PASS/FAIL]],"More info needed")</f>
        <v>More info needed</v>
      </c>
    </row>
    <row r="51" spans="1:21" x14ac:dyDescent="0.3">
      <c r="A51" s="10">
        <f>'NonRes Compliance Calculator'!D105</f>
        <v>0</v>
      </c>
      <c r="B51" s="10">
        <f>'NonRes Compliance Calculator'!F105</f>
        <v>0</v>
      </c>
      <c r="C51" s="10">
        <f>'NonRes Compliance Calculator'!C105</f>
        <v>0</v>
      </c>
      <c r="D51" s="10" t="str">
        <f>'NonRes Compliance Calculator'!K101</f>
        <v/>
      </c>
      <c r="E51" s="10" t="str">
        <f>IF(AND(OR(A51='Non-res - Ordinance Values'!$B$16,A51='Non-res - Ordinance Values'!$B$17,A51='Non-res - Ordinance Values'!$B$19),OR(D51='Non-res - Ordinance Values'!$B$4,D51='Non-res - Ordinance Values'!$B$5,D51='Non-res - Ordinance Values'!$B$8,D51='Non-res - Ordinance Values'!$B$9,D51='Non-res - Ordinance Values'!$B$12)),"Unapproved use of unshielded or partially shielded fixtures, ","")</f>
        <v/>
      </c>
      <c r="F51" s="10" t="str" cm="1">
        <f t="array" ref="F51">_xlfn.IFNA(IF('NonRes Compliance Calculator'!D105='Non-res - Ordinance Values'!$B$20,"",(IF('NonRes Compliance Calculator'!G105&gt;VLOOKUP('NonRes Compliance Calculator'!D105,'Non-res - Ordinance Values'!$B$16:$F$21,_xlfn.IFS('NonRes Compliance Calculator'!$D$27="LZ1",3,'NonRes Compliance Calculator'!$D$27="LZ2",4),FALSE),"Lumens exceed limit,",""))),"")</f>
        <v/>
      </c>
      <c r="G51" s="56"/>
      <c r="H51" s="57" t="str">
        <f>IF('NonRes Compliance Calculator'!J105="","",IF('NonRes Compliance Calculator'!J105&gt;3000,"CCT too high,",""))</f>
        <v/>
      </c>
      <c r="I51" s="10" t="str">
        <f>IF('NonRes Compliance Calculator'!J105="","",IF('NonRes Compliance Calculator'!J105&lt;2700,"CCT too low,",""))</f>
        <v/>
      </c>
      <c r="J51" s="70"/>
      <c r="K51" s="56"/>
      <c r="L51" s="10" t="e">
        <f>IF('NonRes Compliance Calculator'!#REF!&lt;='NonRes Compliance Calculator'!L105,"","Exceeds allowed mounting height,")</f>
        <v>#REF!</v>
      </c>
      <c r="M51" s="65"/>
      <c r="N51" s="66"/>
      <c r="O51" s="66"/>
      <c r="S51" t="str">
        <f t="shared" si="1"/>
        <v>Pass</v>
      </c>
      <c r="T51" t="b">
        <f>COUNTBLANK('NonRes Compliance Calculator'!C102:L102)+COUNTBLANK('NonRes Compliance Calculator'!N102)&gt;0</f>
        <v>1</v>
      </c>
      <c r="U51" t="str">
        <f>IF(Proposed_analysis9[[#This Row],[Info?]]=FALSE,Proposed_analysis9[[#This Row],[PASS/FAIL]],"More info needed")</f>
        <v>More info needed</v>
      </c>
    </row>
    <row r="52" spans="1:21" x14ac:dyDescent="0.3">
      <c r="A52" s="10">
        <f>'NonRes Compliance Calculator'!D106</f>
        <v>0</v>
      </c>
      <c r="B52" s="10">
        <f>'NonRes Compliance Calculator'!F106</f>
        <v>0</v>
      </c>
      <c r="C52" s="10">
        <f>'NonRes Compliance Calculator'!C106</f>
        <v>0</v>
      </c>
      <c r="D52" s="10" t="str">
        <f>'NonRes Compliance Calculator'!K102</f>
        <v/>
      </c>
      <c r="E52" s="10" t="str">
        <f>IF(AND(OR(A52='Non-res - Ordinance Values'!$B$16,A52='Non-res - Ordinance Values'!$B$17,A52='Non-res - Ordinance Values'!$B$19),OR(D52='Non-res - Ordinance Values'!$B$4,D52='Non-res - Ordinance Values'!$B$5,D52='Non-res - Ordinance Values'!$B$8,D52='Non-res - Ordinance Values'!$B$9,D52='Non-res - Ordinance Values'!$B$12)),"Unapproved use of unshielded or partially shielded fixtures, ","")</f>
        <v/>
      </c>
      <c r="F52" s="10" t="str" cm="1">
        <f t="array" ref="F52">_xlfn.IFNA(IF('NonRes Compliance Calculator'!D106='Non-res - Ordinance Values'!$B$20,"",(IF('NonRes Compliance Calculator'!G106&gt;VLOOKUP('NonRes Compliance Calculator'!D106,'Non-res - Ordinance Values'!$B$16:$F$21,_xlfn.IFS('NonRes Compliance Calculator'!$D$27="LZ1",3,'NonRes Compliance Calculator'!$D$27="LZ2",4),FALSE),"Lumens exceed limit,",""))),"")</f>
        <v/>
      </c>
      <c r="G52" s="56"/>
      <c r="H52" s="57" t="str">
        <f>IF('NonRes Compliance Calculator'!J106="","",IF('NonRes Compliance Calculator'!J106&gt;3000,"CCT too high,",""))</f>
        <v/>
      </c>
      <c r="I52" s="10" t="str">
        <f>IF('NonRes Compliance Calculator'!J106="","",IF('NonRes Compliance Calculator'!J106&lt;2700,"CCT too low,",""))</f>
        <v/>
      </c>
      <c r="J52" s="70"/>
      <c r="K52" s="56"/>
      <c r="L52" s="10" t="e">
        <f>IF('NonRes Compliance Calculator'!#REF!&lt;='NonRes Compliance Calculator'!L106,"","Exceeds allowed mounting height,")</f>
        <v>#REF!</v>
      </c>
      <c r="M52" s="65"/>
      <c r="N52" s="66"/>
      <c r="O52" s="66"/>
      <c r="S52" t="str">
        <f t="shared" si="1"/>
        <v>Pass</v>
      </c>
      <c r="T52" t="b">
        <f>COUNTBLANK('NonRes Compliance Calculator'!C103:L103)+COUNTBLANK('NonRes Compliance Calculator'!N103)&gt;0</f>
        <v>1</v>
      </c>
      <c r="U52" t="str">
        <f>IF(Proposed_analysis9[[#This Row],[Info?]]=FALSE,Proposed_analysis9[[#This Row],[PASS/FAIL]],"More info needed")</f>
        <v>More info needed</v>
      </c>
    </row>
    <row r="53" spans="1:21" x14ac:dyDescent="0.3">
      <c r="A53" s="10">
        <f>'NonRes Compliance Calculator'!D107</f>
        <v>0</v>
      </c>
      <c r="B53" s="10">
        <f>'NonRes Compliance Calculator'!F107</f>
        <v>0</v>
      </c>
      <c r="C53" s="10">
        <f>'NonRes Compliance Calculator'!C107</f>
        <v>0</v>
      </c>
      <c r="D53" s="10" t="str">
        <f>'NonRes Compliance Calculator'!K103</f>
        <v/>
      </c>
      <c r="E53" s="10" t="str">
        <f>IF(AND(OR(A53='Non-res - Ordinance Values'!$B$16,A53='Non-res - Ordinance Values'!$B$17,A53='Non-res - Ordinance Values'!$B$19),OR(D53='Non-res - Ordinance Values'!$B$4,D53='Non-res - Ordinance Values'!$B$5,D53='Non-res - Ordinance Values'!$B$8,D53='Non-res - Ordinance Values'!$B$9,D53='Non-res - Ordinance Values'!$B$12)),"Unapproved use of unshielded or partially shielded fixtures, ","")</f>
        <v/>
      </c>
      <c r="F53" s="10" t="str" cm="1">
        <f t="array" ref="F53">_xlfn.IFNA(IF('NonRes Compliance Calculator'!D107='Non-res - Ordinance Values'!$B$20,"",(IF('NonRes Compliance Calculator'!G107&gt;VLOOKUP('NonRes Compliance Calculator'!D107,'Non-res - Ordinance Values'!$B$16:$F$21,_xlfn.IFS('NonRes Compliance Calculator'!$D$27="LZ1",3,'NonRes Compliance Calculator'!$D$27="LZ2",4),FALSE),"Lumens exceed limit,",""))),"")</f>
        <v/>
      </c>
      <c r="G53" s="56"/>
      <c r="H53" s="57" t="str">
        <f>IF('NonRes Compliance Calculator'!J107="","",IF('NonRes Compliance Calculator'!J107&gt;3000,"CCT too high,",""))</f>
        <v/>
      </c>
      <c r="I53" s="10" t="str">
        <f>IF('NonRes Compliance Calculator'!J107="","",IF('NonRes Compliance Calculator'!J107&lt;2700,"CCT too low,",""))</f>
        <v/>
      </c>
      <c r="J53" s="70"/>
      <c r="K53" s="56"/>
      <c r="L53" s="10" t="e">
        <f>IF('NonRes Compliance Calculator'!#REF!&lt;='NonRes Compliance Calculator'!L107,"","Exceeds allowed mounting height,")</f>
        <v>#REF!</v>
      </c>
      <c r="M53" s="65"/>
      <c r="N53" s="66"/>
      <c r="O53" s="66"/>
      <c r="S53" t="str">
        <f t="shared" si="1"/>
        <v>Pass</v>
      </c>
      <c r="T53" t="b">
        <f>COUNTBLANK('NonRes Compliance Calculator'!C104:L104)+COUNTBLANK('NonRes Compliance Calculator'!N104)&gt;0</f>
        <v>1</v>
      </c>
      <c r="U53" t="str">
        <f>IF(Proposed_analysis9[[#This Row],[Info?]]=FALSE,Proposed_analysis9[[#This Row],[PASS/FAIL]],"More info needed")</f>
        <v>More info needed</v>
      </c>
    </row>
    <row r="54" spans="1:21" x14ac:dyDescent="0.3">
      <c r="A54" s="10">
        <f>'NonRes Compliance Calculator'!D108</f>
        <v>0</v>
      </c>
      <c r="B54" s="10">
        <f>'NonRes Compliance Calculator'!F108</f>
        <v>0</v>
      </c>
      <c r="C54" s="10">
        <f>'NonRes Compliance Calculator'!C108</f>
        <v>0</v>
      </c>
      <c r="D54" s="10" t="str">
        <f>'NonRes Compliance Calculator'!K104</f>
        <v/>
      </c>
      <c r="E54" s="10" t="str">
        <f>IF(AND(OR(A54='Non-res - Ordinance Values'!$B$16,A54='Non-res - Ordinance Values'!$B$17,A54='Non-res - Ordinance Values'!$B$19),OR(D54='Non-res - Ordinance Values'!$B$4,D54='Non-res - Ordinance Values'!$B$5,D54='Non-res - Ordinance Values'!$B$8,D54='Non-res - Ordinance Values'!$B$9,D54='Non-res - Ordinance Values'!$B$12)),"Unapproved use of unshielded or partially shielded fixtures, ","")</f>
        <v/>
      </c>
      <c r="F54" s="10" t="str" cm="1">
        <f t="array" ref="F54">_xlfn.IFNA(IF('NonRes Compliance Calculator'!D108='Non-res - Ordinance Values'!$B$20,"",(IF('NonRes Compliance Calculator'!G108&gt;VLOOKUP('NonRes Compliance Calculator'!D108,'Non-res - Ordinance Values'!$B$16:$F$21,_xlfn.IFS('NonRes Compliance Calculator'!$D$27="LZ1",3,'NonRes Compliance Calculator'!$D$27="LZ2",4),FALSE),"Lumens exceed limit,",""))),"")</f>
        <v/>
      </c>
      <c r="G54" s="56"/>
      <c r="H54" s="57" t="str">
        <f>IF('NonRes Compliance Calculator'!J108="","",IF('NonRes Compliance Calculator'!J108&gt;3000,"CCT too high,",""))</f>
        <v/>
      </c>
      <c r="I54" s="10" t="str">
        <f>IF('NonRes Compliance Calculator'!J108="","",IF('NonRes Compliance Calculator'!J108&lt;2700,"CCT too low,",""))</f>
        <v/>
      </c>
      <c r="J54" s="70"/>
      <c r="K54" s="56"/>
      <c r="L54" s="10" t="e">
        <f>IF('NonRes Compliance Calculator'!#REF!&lt;='NonRes Compliance Calculator'!L108,"","Exceeds allowed mounting height,")</f>
        <v>#REF!</v>
      </c>
      <c r="M54" s="65"/>
      <c r="N54" s="66"/>
      <c r="O54" s="66"/>
      <c r="S54" t="str">
        <f t="shared" si="1"/>
        <v>Pass</v>
      </c>
      <c r="T54" t="b">
        <f>COUNTBLANK('NonRes Compliance Calculator'!C105:L105)+COUNTBLANK('NonRes Compliance Calculator'!N105)&gt;0</f>
        <v>1</v>
      </c>
      <c r="U54" t="str">
        <f>IF(Proposed_analysis9[[#This Row],[Info?]]=FALSE,Proposed_analysis9[[#This Row],[PASS/FAIL]],"More info needed")</f>
        <v>More info needed</v>
      </c>
    </row>
    <row r="55" spans="1:21" x14ac:dyDescent="0.3">
      <c r="A55" s="10">
        <f>'NonRes Compliance Calculator'!D109</f>
        <v>0</v>
      </c>
      <c r="B55" s="10">
        <f>'NonRes Compliance Calculator'!F109</f>
        <v>0</v>
      </c>
      <c r="C55" s="10">
        <f>'NonRes Compliance Calculator'!C109</f>
        <v>0</v>
      </c>
      <c r="D55" s="10" t="str">
        <f>'NonRes Compliance Calculator'!K105</f>
        <v/>
      </c>
      <c r="E55" s="10" t="str">
        <f>IF(AND(OR(A55='Non-res - Ordinance Values'!$B$16,A55='Non-res - Ordinance Values'!$B$17,A55='Non-res - Ordinance Values'!$B$19),OR(D55='Non-res - Ordinance Values'!$B$4,D55='Non-res - Ordinance Values'!$B$5,D55='Non-res - Ordinance Values'!$B$8,D55='Non-res - Ordinance Values'!$B$9,D55='Non-res - Ordinance Values'!$B$12)),"Unapproved use of unshielded or partially shielded fixtures, ","")</f>
        <v/>
      </c>
      <c r="F55" s="10" t="str" cm="1">
        <f t="array" ref="F55">_xlfn.IFNA(IF('NonRes Compliance Calculator'!D109='Non-res - Ordinance Values'!$B$20,"",(IF('NonRes Compliance Calculator'!G109&gt;VLOOKUP('NonRes Compliance Calculator'!D109,'Non-res - Ordinance Values'!$B$16:$F$21,_xlfn.IFS('NonRes Compliance Calculator'!$D$27="LZ1",3,'NonRes Compliance Calculator'!$D$27="LZ2",4),FALSE),"Lumens exceed limit,",""))),"")</f>
        <v/>
      </c>
      <c r="G55" s="56"/>
      <c r="H55" s="57" t="str">
        <f>IF('NonRes Compliance Calculator'!J109="","",IF('NonRes Compliance Calculator'!J109&gt;3000,"CCT too high,",""))</f>
        <v/>
      </c>
      <c r="I55" s="10" t="str">
        <f>IF('NonRes Compliance Calculator'!J109="","",IF('NonRes Compliance Calculator'!J109&lt;2700,"CCT too low,",""))</f>
        <v/>
      </c>
      <c r="J55" s="70"/>
      <c r="K55" s="56"/>
      <c r="L55" s="10" t="e">
        <f>IF('NonRes Compliance Calculator'!#REF!&lt;='NonRes Compliance Calculator'!L109,"","Exceeds allowed mounting height,")</f>
        <v>#REF!</v>
      </c>
      <c r="M55" s="65"/>
      <c r="N55" s="66"/>
      <c r="O55" s="66"/>
      <c r="S55" t="str">
        <f t="shared" si="1"/>
        <v>Pass</v>
      </c>
      <c r="T55" t="b">
        <f>COUNTBLANK('NonRes Compliance Calculator'!C106:L106)+COUNTBLANK('NonRes Compliance Calculator'!N106)&gt;0</f>
        <v>1</v>
      </c>
      <c r="U55" t="str">
        <f>IF(Proposed_analysis9[[#This Row],[Info?]]=FALSE,Proposed_analysis9[[#This Row],[PASS/FAIL]],"More info needed")</f>
        <v>More info needed</v>
      </c>
    </row>
    <row r="56" spans="1:21" x14ac:dyDescent="0.3">
      <c r="A56" s="10">
        <f>'NonRes Compliance Calculator'!D110</f>
        <v>0</v>
      </c>
      <c r="B56" s="10">
        <f>'NonRes Compliance Calculator'!F110</f>
        <v>0</v>
      </c>
      <c r="C56" s="10">
        <f>'NonRes Compliance Calculator'!C110</f>
        <v>0</v>
      </c>
      <c r="D56" s="10" t="str">
        <f>'NonRes Compliance Calculator'!K106</f>
        <v/>
      </c>
      <c r="E56" s="10" t="str">
        <f>IF(AND(OR(A56='Non-res - Ordinance Values'!$B$16,A56='Non-res - Ordinance Values'!$B$17,A56='Non-res - Ordinance Values'!$B$19),OR(D56='Non-res - Ordinance Values'!$B$4,D56='Non-res - Ordinance Values'!$B$5,D56='Non-res - Ordinance Values'!$B$8,D56='Non-res - Ordinance Values'!$B$9,D56='Non-res - Ordinance Values'!$B$12)),"Unapproved use of unshielded or partially shielded fixtures, ","")</f>
        <v/>
      </c>
      <c r="F56" s="10" t="str" cm="1">
        <f t="array" ref="F56">_xlfn.IFNA(IF('NonRes Compliance Calculator'!D110='Non-res - Ordinance Values'!$B$20,"",(IF('NonRes Compliance Calculator'!G110&gt;VLOOKUP('NonRes Compliance Calculator'!D110,'Non-res - Ordinance Values'!$B$16:$F$21,_xlfn.IFS('NonRes Compliance Calculator'!$D$27="LZ1",3,'NonRes Compliance Calculator'!$D$27="LZ2",4),FALSE),"Lumens exceed limit,",""))),"")</f>
        <v/>
      </c>
      <c r="G56" s="56"/>
      <c r="H56" s="57" t="str">
        <f>IF('NonRes Compliance Calculator'!J110="","",IF('NonRes Compliance Calculator'!J110&gt;3000,"CCT too high,",""))</f>
        <v/>
      </c>
      <c r="I56" s="10" t="str">
        <f>IF('NonRes Compliance Calculator'!J110="","",IF('NonRes Compliance Calculator'!J110&lt;2700,"CCT too low,",""))</f>
        <v/>
      </c>
      <c r="J56" s="70"/>
      <c r="K56" s="56"/>
      <c r="L56" s="10" t="e">
        <f>IF('NonRes Compliance Calculator'!#REF!&lt;='NonRes Compliance Calculator'!L110,"","Exceeds allowed mounting height,")</f>
        <v>#REF!</v>
      </c>
      <c r="M56" s="65"/>
      <c r="N56" s="66"/>
      <c r="O56" s="66"/>
      <c r="S56" t="str">
        <f t="shared" si="1"/>
        <v>Pass</v>
      </c>
      <c r="T56" t="b">
        <f>COUNTBLANK('NonRes Compliance Calculator'!C107:L107)+COUNTBLANK('NonRes Compliance Calculator'!N107)&gt;0</f>
        <v>1</v>
      </c>
      <c r="U56" t="str">
        <f>IF(Proposed_analysis9[[#This Row],[Info?]]=FALSE,Proposed_analysis9[[#This Row],[PASS/FAIL]],"More info needed")</f>
        <v>More info needed</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B184E-F97F-42FC-846A-BBFA9447BA30}">
  <dimension ref="A1:L33"/>
  <sheetViews>
    <sheetView zoomScale="85" zoomScaleNormal="85" workbookViewId="0">
      <selection activeCell="B39" sqref="B39"/>
    </sheetView>
  </sheetViews>
  <sheetFormatPr defaultRowHeight="14.4" x14ac:dyDescent="0.3"/>
  <cols>
    <col min="1" max="1" width="12.88671875" customWidth="1"/>
    <col min="2" max="2" width="119.109375" bestFit="1" customWidth="1"/>
    <col min="3" max="3" width="17.33203125" bestFit="1" customWidth="1"/>
    <col min="4" max="4" width="13" customWidth="1"/>
    <col min="13" max="13" width="102.6640625" customWidth="1"/>
  </cols>
  <sheetData>
    <row r="1" spans="1:12" x14ac:dyDescent="0.3">
      <c r="B1" s="594" t="s">
        <v>199</v>
      </c>
      <c r="C1" s="595"/>
      <c r="D1" s="596"/>
      <c r="E1" s="51"/>
    </row>
    <row r="2" spans="1:12" ht="43.2" x14ac:dyDescent="0.3">
      <c r="A2" t="s">
        <v>371</v>
      </c>
      <c r="B2" s="40" t="s">
        <v>336</v>
      </c>
      <c r="C2" s="1" t="s">
        <v>200</v>
      </c>
      <c r="D2" s="97" t="s">
        <v>201</v>
      </c>
      <c r="E2" s="37" t="s">
        <v>239</v>
      </c>
    </row>
    <row r="3" spans="1:12" x14ac:dyDescent="0.3">
      <c r="A3">
        <v>1</v>
      </c>
      <c r="B3" s="36" t="s">
        <v>139</v>
      </c>
      <c r="C3">
        <v>3.5</v>
      </c>
      <c r="D3" s="98">
        <v>3.5</v>
      </c>
      <c r="E3" s="37" t="s">
        <v>244</v>
      </c>
    </row>
    <row r="4" spans="1:12" x14ac:dyDescent="0.3">
      <c r="B4" s="36" t="s">
        <v>290</v>
      </c>
      <c r="C4">
        <v>12</v>
      </c>
      <c r="D4" s="37"/>
      <c r="E4" s="37" t="s">
        <v>241</v>
      </c>
      <c r="H4" s="1"/>
      <c r="I4" s="1"/>
      <c r="J4" s="1"/>
      <c r="K4" s="1"/>
      <c r="L4" s="1"/>
    </row>
    <row r="5" spans="1:12" x14ac:dyDescent="0.3">
      <c r="B5" s="36" t="s">
        <v>202</v>
      </c>
      <c r="C5" t="s">
        <v>245</v>
      </c>
      <c r="D5" s="37"/>
      <c r="E5" s="37"/>
    </row>
    <row r="6" spans="1:12" x14ac:dyDescent="0.3">
      <c r="B6" s="36" t="s">
        <v>378</v>
      </c>
      <c r="C6">
        <v>12</v>
      </c>
      <c r="D6" s="37"/>
      <c r="E6" s="37"/>
    </row>
    <row r="7" spans="1:12" x14ac:dyDescent="0.3">
      <c r="A7">
        <v>1</v>
      </c>
      <c r="B7" s="36" t="s">
        <v>242</v>
      </c>
      <c r="C7">
        <v>3.5</v>
      </c>
      <c r="D7" s="98">
        <v>3.5</v>
      </c>
      <c r="E7" s="37" t="s">
        <v>243</v>
      </c>
    </row>
    <row r="8" spans="1:12" x14ac:dyDescent="0.3">
      <c r="B8" s="36" t="s">
        <v>288</v>
      </c>
      <c r="C8" s="94">
        <v>12</v>
      </c>
      <c r="D8" s="66">
        <v>12</v>
      </c>
      <c r="E8" s="37" t="s">
        <v>140</v>
      </c>
    </row>
    <row r="9" spans="1:12" ht="15" thickBot="1" x14ac:dyDescent="0.35">
      <c r="B9" s="38" t="s">
        <v>289</v>
      </c>
      <c r="C9" s="42">
        <v>20</v>
      </c>
      <c r="D9" s="99"/>
      <c r="E9" s="39" t="s">
        <v>140</v>
      </c>
    </row>
    <row r="10" spans="1:12" x14ac:dyDescent="0.3">
      <c r="A10">
        <v>1</v>
      </c>
      <c r="B10" s="36" t="s">
        <v>287</v>
      </c>
      <c r="C10">
        <v>6</v>
      </c>
      <c r="D10" s="66"/>
    </row>
    <row r="11" spans="1:12" x14ac:dyDescent="0.3">
      <c r="A11">
        <v>1</v>
      </c>
      <c r="B11" s="36" t="s">
        <v>369</v>
      </c>
      <c r="C11" t="s">
        <v>245</v>
      </c>
    </row>
    <row r="12" spans="1:12" x14ac:dyDescent="0.3">
      <c r="B12" s="36" t="s">
        <v>370</v>
      </c>
      <c r="C12" t="s">
        <v>245</v>
      </c>
    </row>
    <row r="13" spans="1:12" ht="15" thickBot="1" x14ac:dyDescent="0.35">
      <c r="A13">
        <v>1</v>
      </c>
      <c r="B13" s="36" t="s">
        <v>372</v>
      </c>
      <c r="C13" t="s">
        <v>245</v>
      </c>
    </row>
    <row r="14" spans="1:12" ht="28.95" customHeight="1" x14ac:dyDescent="0.3">
      <c r="B14" s="527" t="s">
        <v>203</v>
      </c>
      <c r="C14" s="528"/>
      <c r="D14" s="528"/>
      <c r="E14" s="528"/>
      <c r="F14" s="528"/>
      <c r="G14" s="51"/>
    </row>
    <row r="15" spans="1:12" ht="15" thickBot="1" x14ac:dyDescent="0.35">
      <c r="B15" s="38" t="s">
        <v>336</v>
      </c>
      <c r="C15" s="42" t="s">
        <v>15</v>
      </c>
      <c r="D15" s="42" t="s">
        <v>16</v>
      </c>
      <c r="E15" s="42" t="s">
        <v>17</v>
      </c>
      <c r="F15" s="42" t="s">
        <v>18</v>
      </c>
      <c r="G15" s="39"/>
    </row>
    <row r="16" spans="1:12" ht="15" thickBot="1" x14ac:dyDescent="0.35">
      <c r="B16" s="92" t="s">
        <v>255</v>
      </c>
      <c r="C16">
        <v>0</v>
      </c>
      <c r="D16">
        <v>205</v>
      </c>
      <c r="E16">
        <v>430</v>
      </c>
      <c r="F16">
        <v>430</v>
      </c>
      <c r="G16" s="37"/>
    </row>
    <row r="17" spans="1:8" x14ac:dyDescent="0.3">
      <c r="B17" s="75" t="s">
        <v>146</v>
      </c>
      <c r="C17">
        <v>0</v>
      </c>
      <c r="D17">
        <v>455</v>
      </c>
      <c r="E17">
        <v>910</v>
      </c>
      <c r="F17">
        <v>910</v>
      </c>
      <c r="G17" s="37"/>
    </row>
    <row r="18" spans="1:8" x14ac:dyDescent="0.3">
      <c r="B18" s="34" t="s">
        <v>73</v>
      </c>
      <c r="C18">
        <v>0</v>
      </c>
      <c r="D18">
        <v>630</v>
      </c>
      <c r="E18">
        <v>1260</v>
      </c>
      <c r="F18">
        <v>1260</v>
      </c>
      <c r="G18" s="37"/>
      <c r="H18" s="88"/>
    </row>
    <row r="19" spans="1:8" x14ac:dyDescent="0.3">
      <c r="B19" s="34" t="s">
        <v>93</v>
      </c>
      <c r="C19">
        <v>0</v>
      </c>
      <c r="D19">
        <v>900</v>
      </c>
      <c r="E19">
        <v>1125</v>
      </c>
      <c r="F19">
        <v>1600</v>
      </c>
      <c r="G19" s="37"/>
    </row>
    <row r="20" spans="1:8" x14ac:dyDescent="0.3">
      <c r="B20" s="34" t="s">
        <v>130</v>
      </c>
      <c r="G20" s="37"/>
    </row>
    <row r="21" spans="1:8" ht="15" thickBot="1" x14ac:dyDescent="0.35">
      <c r="B21" s="87" t="s">
        <v>194</v>
      </c>
      <c r="C21" s="42"/>
      <c r="D21" s="42"/>
      <c r="E21" s="42"/>
      <c r="F21" s="42"/>
      <c r="G21" s="39"/>
    </row>
    <row r="22" spans="1:8" ht="15" thickBot="1" x14ac:dyDescent="0.35">
      <c r="B22" s="34"/>
      <c r="G22" s="37"/>
    </row>
    <row r="23" spans="1:8" ht="37.200000000000003" customHeight="1" x14ac:dyDescent="0.3">
      <c r="A23" s="49"/>
      <c r="B23" s="528" t="s">
        <v>204</v>
      </c>
      <c r="C23" s="528"/>
      <c r="D23" s="528"/>
      <c r="E23" s="528"/>
      <c r="F23" s="528"/>
      <c r="G23" s="460"/>
    </row>
    <row r="24" spans="1:8" x14ac:dyDescent="0.3">
      <c r="A24" s="36"/>
      <c r="B24" t="s">
        <v>336</v>
      </c>
      <c r="D24" t="s">
        <v>15</v>
      </c>
      <c r="E24" t="s">
        <v>16</v>
      </c>
      <c r="F24" t="s">
        <v>17</v>
      </c>
      <c r="G24" s="37" t="s">
        <v>18</v>
      </c>
    </row>
    <row r="25" spans="1:8" ht="29.55" customHeight="1" x14ac:dyDescent="0.3">
      <c r="A25" s="36"/>
      <c r="B25" s="95" t="s">
        <v>232</v>
      </c>
      <c r="C25" s="11" t="s">
        <v>205</v>
      </c>
      <c r="D25" s="3">
        <v>0</v>
      </c>
      <c r="E25" s="3">
        <v>500</v>
      </c>
      <c r="F25" s="3">
        <v>1000</v>
      </c>
      <c r="G25" s="89">
        <v>1500</v>
      </c>
    </row>
    <row r="26" spans="1:8" ht="29.55" customHeight="1" x14ac:dyDescent="0.3">
      <c r="A26" s="36"/>
      <c r="B26" s="20" t="s">
        <v>227</v>
      </c>
      <c r="C26" s="11" t="s">
        <v>210</v>
      </c>
      <c r="D26" s="3">
        <v>0</v>
      </c>
      <c r="E26" s="3">
        <v>8</v>
      </c>
      <c r="F26" s="3">
        <v>16</v>
      </c>
      <c r="G26" s="89">
        <v>24</v>
      </c>
    </row>
    <row r="27" spans="1:8" ht="29.55" customHeight="1" x14ac:dyDescent="0.3">
      <c r="A27" s="36"/>
      <c r="B27" s="20" t="s">
        <v>222</v>
      </c>
      <c r="C27" s="11" t="s">
        <v>205</v>
      </c>
      <c r="D27" s="3">
        <v>0</v>
      </c>
      <c r="E27" s="3">
        <v>2000</v>
      </c>
      <c r="F27" s="3">
        <v>4000</v>
      </c>
      <c r="G27" s="89">
        <v>6000</v>
      </c>
    </row>
    <row r="28" spans="1:8" ht="29.55" customHeight="1" x14ac:dyDescent="0.3">
      <c r="A28" s="36"/>
      <c r="B28" s="20" t="s">
        <v>223</v>
      </c>
      <c r="C28" s="11" t="s">
        <v>206</v>
      </c>
      <c r="D28" s="3">
        <v>0</v>
      </c>
      <c r="E28" s="3">
        <v>400</v>
      </c>
      <c r="F28" s="3">
        <v>600</v>
      </c>
      <c r="G28" s="89">
        <v>800</v>
      </c>
    </row>
    <row r="29" spans="1:8" ht="29.55" customHeight="1" x14ac:dyDescent="0.3">
      <c r="A29" s="36"/>
      <c r="B29" s="20" t="s">
        <v>224</v>
      </c>
      <c r="C29" s="11" t="s">
        <v>207</v>
      </c>
      <c r="D29" s="3">
        <v>0</v>
      </c>
      <c r="E29" s="3">
        <v>4000</v>
      </c>
      <c r="F29" s="3">
        <v>8000</v>
      </c>
      <c r="G29" s="89">
        <v>10000</v>
      </c>
      <c r="H29" s="88"/>
    </row>
    <row r="30" spans="1:8" ht="29.55" customHeight="1" thickBot="1" x14ac:dyDescent="0.35">
      <c r="A30" s="38"/>
      <c r="B30" s="96" t="s">
        <v>225</v>
      </c>
      <c r="C30" s="52" t="s">
        <v>209</v>
      </c>
      <c r="D30" s="90">
        <v>0</v>
      </c>
      <c r="E30" s="90">
        <v>1</v>
      </c>
      <c r="F30" s="90">
        <v>5</v>
      </c>
      <c r="G30" s="91">
        <v>10</v>
      </c>
    </row>
    <row r="31" spans="1:8" x14ac:dyDescent="0.3">
      <c r="B31" s="20" t="s">
        <v>374</v>
      </c>
      <c r="C31" s="1"/>
    </row>
    <row r="32" spans="1:8" x14ac:dyDescent="0.3">
      <c r="B32" s="20"/>
      <c r="C32" s="1"/>
      <c r="H32" s="88"/>
    </row>
    <row r="33" spans="2:2" x14ac:dyDescent="0.3">
      <c r="B33" s="20"/>
    </row>
  </sheetData>
  <sortState xmlns:xlrd2="http://schemas.microsoft.com/office/spreadsheetml/2017/richdata2" ref="B3:E9">
    <sortCondition ref="B3:B9"/>
  </sortState>
  <mergeCells count="3">
    <mergeCell ref="B1:D1"/>
    <mergeCell ref="B14:F14"/>
    <mergeCell ref="B23:G23"/>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C91BA-111E-4C66-9722-A2D1B0558A26}">
  <dimension ref="A1:H52"/>
  <sheetViews>
    <sheetView topLeftCell="A2" zoomScaleNormal="100" workbookViewId="0">
      <selection activeCell="D37" sqref="D37"/>
    </sheetView>
  </sheetViews>
  <sheetFormatPr defaultColWidth="8.88671875" defaultRowHeight="14.4" x14ac:dyDescent="0.3"/>
  <cols>
    <col min="1" max="1" width="9.5546875" style="2" bestFit="1" customWidth="1"/>
    <col min="2" max="2" width="19" style="2" customWidth="1"/>
    <col min="3" max="3" width="12.33203125" style="3" customWidth="1"/>
    <col min="4" max="4" width="29.44140625" style="2" customWidth="1"/>
    <col min="5" max="16384" width="8.88671875" style="2"/>
  </cols>
  <sheetData>
    <row r="1" spans="2:8" ht="15" thickBot="1" x14ac:dyDescent="0.35">
      <c r="G1" s="2" t="s">
        <v>11</v>
      </c>
      <c r="H1" s="2" t="s">
        <v>71</v>
      </c>
    </row>
    <row r="2" spans="2:8" ht="26.55" customHeight="1" thickBot="1" x14ac:dyDescent="0.35">
      <c r="B2" s="7" t="s">
        <v>66</v>
      </c>
      <c r="C2" s="8"/>
      <c r="D2" s="9"/>
    </row>
    <row r="3" spans="2:8" ht="26.4" x14ac:dyDescent="0.3">
      <c r="B3" s="4" t="s">
        <v>1</v>
      </c>
      <c r="C3" s="16" t="s">
        <v>78</v>
      </c>
      <c r="D3" s="21" t="s">
        <v>0</v>
      </c>
    </row>
    <row r="4" spans="2:8" x14ac:dyDescent="0.3">
      <c r="B4" s="4" t="s">
        <v>21</v>
      </c>
      <c r="C4" s="16" t="s">
        <v>15</v>
      </c>
      <c r="D4" s="22" t="s">
        <v>65</v>
      </c>
    </row>
    <row r="5" spans="2:8" x14ac:dyDescent="0.3">
      <c r="B5" s="4" t="s">
        <v>22</v>
      </c>
      <c r="C5" s="16" t="s">
        <v>15</v>
      </c>
      <c r="D5" s="22" t="s">
        <v>65</v>
      </c>
    </row>
    <row r="6" spans="2:8" x14ac:dyDescent="0.3">
      <c r="B6" s="6" t="s">
        <v>19</v>
      </c>
      <c r="C6" s="16" t="s">
        <v>15</v>
      </c>
      <c r="D6" s="22" t="s">
        <v>63</v>
      </c>
    </row>
    <row r="7" spans="2:8" x14ac:dyDescent="0.3">
      <c r="B7" s="4" t="s">
        <v>20</v>
      </c>
      <c r="C7" s="16" t="s">
        <v>15</v>
      </c>
      <c r="D7" s="22" t="s">
        <v>64</v>
      </c>
    </row>
    <row r="8" spans="2:8" x14ac:dyDescent="0.3">
      <c r="B8" s="4" t="s">
        <v>79</v>
      </c>
      <c r="C8" s="16" t="s">
        <v>16</v>
      </c>
      <c r="D8" s="22" t="s">
        <v>80</v>
      </c>
    </row>
    <row r="9" spans="2:8" x14ac:dyDescent="0.3">
      <c r="B9" s="4" t="s">
        <v>25</v>
      </c>
      <c r="C9" s="16" t="s">
        <v>16</v>
      </c>
      <c r="D9" s="22" t="s">
        <v>44</v>
      </c>
    </row>
    <row r="10" spans="2:8" x14ac:dyDescent="0.3">
      <c r="B10" s="4" t="s">
        <v>23</v>
      </c>
      <c r="C10" s="16" t="s">
        <v>16</v>
      </c>
      <c r="D10" s="22" t="s">
        <v>58</v>
      </c>
    </row>
    <row r="11" spans="2:8" x14ac:dyDescent="0.3">
      <c r="B11" s="4" t="s">
        <v>24</v>
      </c>
      <c r="C11" s="16" t="s">
        <v>16</v>
      </c>
      <c r="D11" s="22" t="s">
        <v>43</v>
      </c>
    </row>
    <row r="12" spans="2:8" x14ac:dyDescent="0.3">
      <c r="B12" s="4" t="s">
        <v>31</v>
      </c>
      <c r="C12" s="16" t="s">
        <v>16</v>
      </c>
      <c r="D12" s="22" t="s">
        <v>48</v>
      </c>
    </row>
    <row r="13" spans="2:8" x14ac:dyDescent="0.3">
      <c r="B13" s="4" t="s">
        <v>28</v>
      </c>
      <c r="C13" s="16" t="s">
        <v>16</v>
      </c>
      <c r="D13" s="22" t="s">
        <v>46</v>
      </c>
    </row>
    <row r="14" spans="2:8" x14ac:dyDescent="0.3">
      <c r="B14" s="4" t="s">
        <v>29</v>
      </c>
      <c r="C14" s="16" t="s">
        <v>16</v>
      </c>
      <c r="D14" s="22" t="s">
        <v>47</v>
      </c>
    </row>
    <row r="15" spans="2:8" x14ac:dyDescent="0.3">
      <c r="B15" s="4" t="s">
        <v>81</v>
      </c>
      <c r="C15" s="16" t="s">
        <v>16</v>
      </c>
      <c r="D15" s="22" t="s">
        <v>47</v>
      </c>
    </row>
    <row r="16" spans="2:8" x14ac:dyDescent="0.3">
      <c r="B16" s="4" t="s">
        <v>30</v>
      </c>
      <c r="C16" s="16" t="s">
        <v>16</v>
      </c>
      <c r="D16" s="22" t="s">
        <v>47</v>
      </c>
    </row>
    <row r="17" spans="2:4" x14ac:dyDescent="0.3">
      <c r="B17" s="4" t="s">
        <v>26</v>
      </c>
      <c r="C17" s="16" t="s">
        <v>16</v>
      </c>
      <c r="D17" s="22" t="s">
        <v>45</v>
      </c>
    </row>
    <row r="18" spans="2:4" x14ac:dyDescent="0.3">
      <c r="B18" s="4" t="s">
        <v>27</v>
      </c>
      <c r="C18" s="16" t="s">
        <v>16</v>
      </c>
      <c r="D18" s="22" t="s">
        <v>45</v>
      </c>
    </row>
    <row r="19" spans="2:4" x14ac:dyDescent="0.3">
      <c r="B19" s="4" t="s">
        <v>32</v>
      </c>
      <c r="C19" s="16" t="s">
        <v>16</v>
      </c>
      <c r="D19" s="22" t="s">
        <v>49</v>
      </c>
    </row>
    <row r="20" spans="2:4" x14ac:dyDescent="0.3">
      <c r="B20" s="4" t="s">
        <v>36</v>
      </c>
      <c r="C20" s="16" t="s">
        <v>17</v>
      </c>
      <c r="D20" s="22" t="s">
        <v>53</v>
      </c>
    </row>
    <row r="21" spans="2:4" x14ac:dyDescent="0.3">
      <c r="B21" s="4" t="s">
        <v>35</v>
      </c>
      <c r="C21" s="16" t="s">
        <v>17</v>
      </c>
      <c r="D21" s="22" t="s">
        <v>52</v>
      </c>
    </row>
    <row r="22" spans="2:4" x14ac:dyDescent="0.3">
      <c r="B22" s="4" t="s">
        <v>34</v>
      </c>
      <c r="C22" s="16" t="s">
        <v>17</v>
      </c>
      <c r="D22" s="22" t="s">
        <v>51</v>
      </c>
    </row>
    <row r="23" spans="2:4" x14ac:dyDescent="0.3">
      <c r="B23" s="4" t="s">
        <v>33</v>
      </c>
      <c r="C23" s="16" t="s">
        <v>17</v>
      </c>
      <c r="D23" s="22" t="s">
        <v>50</v>
      </c>
    </row>
    <row r="24" spans="2:4" x14ac:dyDescent="0.3">
      <c r="B24" s="4" t="s">
        <v>39</v>
      </c>
      <c r="C24" s="16" t="s">
        <v>17</v>
      </c>
      <c r="D24" s="22" t="s">
        <v>56</v>
      </c>
    </row>
    <row r="25" spans="2:4" x14ac:dyDescent="0.3">
      <c r="B25" s="4" t="s">
        <v>38</v>
      </c>
      <c r="C25" s="16" t="s">
        <v>17</v>
      </c>
      <c r="D25" s="22" t="s">
        <v>55</v>
      </c>
    </row>
    <row r="26" spans="2:4" x14ac:dyDescent="0.3">
      <c r="B26" s="4" t="s">
        <v>37</v>
      </c>
      <c r="C26" s="16" t="s">
        <v>17</v>
      </c>
      <c r="D26" s="22" t="s">
        <v>54</v>
      </c>
    </row>
    <row r="27" spans="2:4" x14ac:dyDescent="0.3">
      <c r="B27" s="4" t="s">
        <v>40</v>
      </c>
      <c r="C27" s="16" t="s">
        <v>17</v>
      </c>
      <c r="D27" s="22" t="s">
        <v>57</v>
      </c>
    </row>
    <row r="28" spans="2:4" x14ac:dyDescent="0.3">
      <c r="B28" s="4" t="s">
        <v>60</v>
      </c>
      <c r="C28" s="16" t="s">
        <v>17</v>
      </c>
      <c r="D28" s="22" t="s">
        <v>61</v>
      </c>
    </row>
    <row r="29" spans="2:4" x14ac:dyDescent="0.3">
      <c r="B29" s="4" t="s">
        <v>41</v>
      </c>
      <c r="C29" s="16"/>
      <c r="D29" s="22" t="s">
        <v>59</v>
      </c>
    </row>
    <row r="30" spans="2:4" x14ac:dyDescent="0.3">
      <c r="B30" s="4" t="s">
        <v>42</v>
      </c>
      <c r="C30" s="16" t="s">
        <v>17</v>
      </c>
      <c r="D30" s="22" t="s">
        <v>62</v>
      </c>
    </row>
    <row r="31" spans="2:4" ht="15" thickBot="1" x14ac:dyDescent="0.35">
      <c r="B31" s="5"/>
      <c r="C31" s="23"/>
      <c r="D31" s="24"/>
    </row>
    <row r="33" spans="1:5" x14ac:dyDescent="0.3">
      <c r="A33" s="2" t="s">
        <v>226</v>
      </c>
    </row>
    <row r="34" spans="1:5" x14ac:dyDescent="0.3">
      <c r="A34" s="28" t="s">
        <v>115</v>
      </c>
      <c r="B34" s="28" t="s">
        <v>116</v>
      </c>
    </row>
    <row r="35" spans="1:5" x14ac:dyDescent="0.3">
      <c r="A35" s="28">
        <v>0</v>
      </c>
      <c r="B35" s="28">
        <v>2700</v>
      </c>
      <c r="E35" s="27"/>
    </row>
    <row r="36" spans="1:5" x14ac:dyDescent="0.3">
      <c r="A36" s="28">
        <v>3000</v>
      </c>
      <c r="B36" s="28">
        <v>3350</v>
      </c>
      <c r="E36" s="26"/>
    </row>
    <row r="37" spans="1:5" x14ac:dyDescent="0.3">
      <c r="A37" s="28">
        <v>4500</v>
      </c>
      <c r="B37" s="28">
        <v>4000</v>
      </c>
    </row>
    <row r="38" spans="1:5" x14ac:dyDescent="0.3">
      <c r="A38" s="28">
        <v>6000</v>
      </c>
      <c r="B38" s="28">
        <v>5000</v>
      </c>
    </row>
    <row r="39" spans="1:5" x14ac:dyDescent="0.3">
      <c r="A39" s="28">
        <v>9000</v>
      </c>
      <c r="B39" s="28">
        <v>7500</v>
      </c>
    </row>
    <row r="40" spans="1:5" x14ac:dyDescent="0.3">
      <c r="A40" s="28">
        <v>15000</v>
      </c>
      <c r="B40" s="28">
        <v>13500</v>
      </c>
    </row>
    <row r="41" spans="1:5" x14ac:dyDescent="0.3">
      <c r="A41" s="28">
        <v>30000</v>
      </c>
      <c r="B41" s="28">
        <v>20000</v>
      </c>
    </row>
    <row r="42" spans="1:5" x14ac:dyDescent="0.3">
      <c r="A42" s="28"/>
      <c r="B42" s="28"/>
      <c r="C42" s="30"/>
    </row>
    <row r="43" spans="1:5" x14ac:dyDescent="0.3">
      <c r="A43" s="28"/>
      <c r="B43" s="28"/>
      <c r="C43" s="30"/>
    </row>
    <row r="44" spans="1:5" x14ac:dyDescent="0.3">
      <c r="A44" s="28"/>
      <c r="B44" s="28"/>
      <c r="C44" s="30"/>
    </row>
    <row r="45" spans="1:5" x14ac:dyDescent="0.3">
      <c r="A45" s="28" t="s">
        <v>115</v>
      </c>
      <c r="B45" s="28" t="s">
        <v>117</v>
      </c>
    </row>
    <row r="46" spans="1:5" x14ac:dyDescent="0.3">
      <c r="A46" s="28">
        <v>0</v>
      </c>
      <c r="B46" s="28">
        <v>3000</v>
      </c>
    </row>
    <row r="47" spans="1:5" x14ac:dyDescent="0.3">
      <c r="A47" s="28">
        <v>3000</v>
      </c>
      <c r="B47" s="28">
        <v>3700</v>
      </c>
    </row>
    <row r="48" spans="1:5" x14ac:dyDescent="0.3">
      <c r="A48" s="28">
        <v>4500</v>
      </c>
      <c r="B48" s="28">
        <v>4500</v>
      </c>
    </row>
    <row r="49" spans="1:2" x14ac:dyDescent="0.3">
      <c r="A49" s="28">
        <v>6000</v>
      </c>
      <c r="B49" s="28">
        <v>5000</v>
      </c>
    </row>
    <row r="50" spans="1:2" x14ac:dyDescent="0.3">
      <c r="A50" s="28">
        <v>9000</v>
      </c>
      <c r="B50" s="28">
        <v>7500</v>
      </c>
    </row>
    <row r="51" spans="1:2" x14ac:dyDescent="0.3">
      <c r="A51" s="28">
        <v>15000</v>
      </c>
      <c r="B51" s="28">
        <v>13500</v>
      </c>
    </row>
    <row r="52" spans="1:2" x14ac:dyDescent="0.3">
      <c r="A52" s="29">
        <v>30000</v>
      </c>
      <c r="B52" s="28">
        <v>20000</v>
      </c>
    </row>
  </sheetData>
  <sheetProtection algorithmName="SHA-512" hashValue="yqaDR1FV3ogYRuMp33NBqPhNLKCAuxnlhoWQGCgH4WLVfxzSFXa4xVrz5X1YDfASgIGiEgiBrriIc6uZbCAZbA==" saltValue="1VlscIOBOXeMAacROCHdpg==" spinCount="100000" sheet="1" objects="1" scenarios="1"/>
  <sortState xmlns:xlrd2="http://schemas.microsoft.com/office/spreadsheetml/2017/richdata2" ref="A47:B54">
    <sortCondition ref="A47:A54"/>
  </sortState>
  <phoneticPr fontId="3" type="noConversion"/>
  <pageMargins left="0.7" right="0.7" top="0.75" bottom="0.75" header="0.3" footer="0.3"/>
  <pageSetup orientation="portrait" r:id="rId1"/>
  <tableParts count="2">
    <tablePart r:id="rId2"/>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6C110-89F9-4438-9EAC-965B8E74A042}">
  <dimension ref="A1:P56"/>
  <sheetViews>
    <sheetView zoomScale="70" zoomScaleNormal="70" workbookViewId="0">
      <selection activeCell="E37" sqref="E37"/>
    </sheetView>
  </sheetViews>
  <sheetFormatPr defaultRowHeight="14.4" x14ac:dyDescent="0.3"/>
  <cols>
    <col min="1" max="1" width="38.6640625" bestFit="1" customWidth="1"/>
    <col min="2" max="2" width="36.44140625" customWidth="1"/>
    <col min="3" max="3" width="32.33203125" customWidth="1"/>
    <col min="4" max="4" width="10.33203125" customWidth="1"/>
    <col min="5" max="6" width="14.109375" customWidth="1"/>
    <col min="7" max="7" width="32" customWidth="1"/>
    <col min="8" max="8" width="28.88671875" customWidth="1"/>
    <col min="9" max="9" width="30.6640625" bestFit="1" customWidth="1"/>
    <col min="10" max="10" width="19.6640625" customWidth="1"/>
    <col min="11" max="11" width="20.33203125" customWidth="1"/>
    <col min="12" max="12" width="18.6640625" customWidth="1"/>
    <col min="13" max="13" width="12.109375" customWidth="1"/>
    <col min="16" max="16" width="11.6640625" customWidth="1"/>
  </cols>
  <sheetData>
    <row r="1" spans="1:16" x14ac:dyDescent="0.3">
      <c r="A1" t="s">
        <v>190</v>
      </c>
    </row>
    <row r="2" spans="1:16" x14ac:dyDescent="0.3">
      <c r="A2" t="s">
        <v>187</v>
      </c>
    </row>
    <row r="3" spans="1:16" x14ac:dyDescent="0.3">
      <c r="A3" t="s">
        <v>186</v>
      </c>
      <c r="C3">
        <f>COUNTIF(C6:I6,"?*")</f>
        <v>0</v>
      </c>
    </row>
    <row r="5" spans="1:16" s="11" customFormat="1" x14ac:dyDescent="0.3">
      <c r="A5" s="31" t="s">
        <v>131</v>
      </c>
      <c r="B5" s="32" t="s">
        <v>163</v>
      </c>
      <c r="C5" s="32" t="s">
        <v>188</v>
      </c>
      <c r="D5" s="32" t="s">
        <v>4</v>
      </c>
      <c r="E5" s="32" t="s">
        <v>6</v>
      </c>
      <c r="F5" s="32" t="s">
        <v>282</v>
      </c>
      <c r="G5" s="32" t="s">
        <v>103</v>
      </c>
      <c r="H5" s="67" t="s">
        <v>153</v>
      </c>
      <c r="I5" s="32" t="s">
        <v>154</v>
      </c>
      <c r="J5" s="33" t="s">
        <v>125</v>
      </c>
      <c r="K5" s="33" t="s">
        <v>126</v>
      </c>
      <c r="L5" s="33" t="s">
        <v>127</v>
      </c>
      <c r="M5" s="67" t="s">
        <v>10</v>
      </c>
      <c r="N5" s="68" t="s">
        <v>70</v>
      </c>
      <c r="O5" s="67" t="s">
        <v>122</v>
      </c>
      <c r="P5" s="11" t="s">
        <v>121</v>
      </c>
    </row>
    <row r="6" spans="1:16" x14ac:dyDescent="0.3">
      <c r="A6" s="10" t="str">
        <f>'Res Compliance Calculator'!D52</f>
        <v>Please choose from dropdown</v>
      </c>
      <c r="B6" s="10">
        <f>'Res Compliance Calculator'!C52</f>
        <v>0</v>
      </c>
      <c r="C6" s="69" t="str" cm="1">
        <f t="array" ref="C6">_xlfn.IFNA(IF('Res Compliance Calculator'!D88='Res - Ordinance Values'!$B$27,"",(IF('Res Compliance Calculator'!$F88&gt;VLOOKUP('Res Compliance Calculator'!$D88,'Res - Ordinance Values'!$B$23:$F$28,_xlfn.IFS('Res Compliance Calculator'!$D$29="LZ1",3,'Res Compliance Calculator'!$D$29="LZ2",4),FALSE),"Lumens exceed limit,",""))),"")</f>
        <v/>
      </c>
      <c r="D6" s="56"/>
      <c r="E6" s="64"/>
      <c r="F6" s="69" t="str">
        <f>IF('Res Compliance Calculator'!I88="","",IF('Res Compliance Calculator'!I88&lt;2700,"CCT too low,",""))</f>
        <v/>
      </c>
      <c r="G6" s="70"/>
      <c r="H6" s="56"/>
      <c r="I6" s="69" t="e">
        <f>IF('Res Compliance Calculator'!$L88&lt;='Res Compliance Calculator'!#REF!,"","Exceeds allowed mounting height,")</f>
        <v>#REF!</v>
      </c>
      <c r="J6" s="65"/>
      <c r="K6" s="66"/>
      <c r="L6" s="66"/>
      <c r="P6" t="str">
        <f>IF(COUNTIF(C6:I6,"?*")&gt;0,"Fail","Pass")</f>
        <v>Pass</v>
      </c>
    </row>
    <row r="7" spans="1:16" x14ac:dyDescent="0.3">
      <c r="A7" s="10">
        <f>'Res Compliance Calculator'!D53</f>
        <v>0</v>
      </c>
      <c r="B7" s="10">
        <f>'Res Compliance Calculator'!C53</f>
        <v>0</v>
      </c>
      <c r="C7" s="69" t="str" cm="1">
        <f t="array" ref="C7">_xlfn.IFNA(IF('Res Compliance Calculator'!D89='Res - Ordinance Values'!$B$27,"",(IF('Res Compliance Calculator'!$F89&gt;VLOOKUP('Res Compliance Calculator'!$D89,'Res - Ordinance Values'!$B$23:$F$28,_xlfn.IFS('Res Compliance Calculator'!$D$29="LZ1",3,'Res Compliance Calculator'!$D$29="LZ2",4),FALSE),"Lumens exceed limit,",""))),"")</f>
        <v/>
      </c>
      <c r="D7" s="56"/>
      <c r="E7" s="64"/>
      <c r="F7" s="69" t="str">
        <f>IF('Res Compliance Calculator'!I89="","",IF('Res Compliance Calculator'!I89&lt;2700,"CCT too low,",""))</f>
        <v/>
      </c>
      <c r="G7" s="70"/>
      <c r="H7" s="56"/>
      <c r="I7" s="69" t="e">
        <f>IF('Res Compliance Calculator'!$L89&lt;='Res Compliance Calculator'!#REF!,"","Exceeds allowed mounting height,")</f>
        <v>#REF!</v>
      </c>
      <c r="J7" s="65"/>
      <c r="K7" s="66"/>
      <c r="L7" s="66"/>
      <c r="P7" t="str">
        <f t="shared" ref="P7:P56" si="0">IF(COUNTIF(C7:I7,"?*")&gt;0,"Fail","Pass")</f>
        <v>Pass</v>
      </c>
    </row>
    <row r="8" spans="1:16" x14ac:dyDescent="0.3">
      <c r="A8" s="10">
        <f>'Res Compliance Calculator'!D54</f>
        <v>0</v>
      </c>
      <c r="B8" s="10">
        <f>'Res Compliance Calculator'!C54</f>
        <v>0</v>
      </c>
      <c r="C8" s="69" t="str" cm="1">
        <f t="array" ref="C8">_xlfn.IFNA(IF('Res Compliance Calculator'!D90='Res - Ordinance Values'!$B$27,"",(IF('Res Compliance Calculator'!$F90&gt;VLOOKUP('Res Compliance Calculator'!$D90,'Res - Ordinance Values'!$B$23:$F$28,_xlfn.IFS('Res Compliance Calculator'!$D$29="LZ1",3,'Res Compliance Calculator'!$D$29="LZ2",4),FALSE),"Lumens exceed limit,",""))),"")</f>
        <v/>
      </c>
      <c r="D8" s="56"/>
      <c r="E8" s="64"/>
      <c r="F8" s="69" t="str">
        <f>IF('Res Compliance Calculator'!I90="","",IF('Res Compliance Calculator'!I90&lt;2700,"CCT too low,",""))</f>
        <v/>
      </c>
      <c r="G8" s="70"/>
      <c r="H8" s="56"/>
      <c r="I8" s="69" t="e">
        <f>IF('Res Compliance Calculator'!$L90&lt;='Res Compliance Calculator'!#REF!,"","Exceeds allowed mounting height,")</f>
        <v>#REF!</v>
      </c>
      <c r="J8" s="65"/>
      <c r="K8" s="66"/>
      <c r="L8" s="66"/>
      <c r="P8" t="str">
        <f t="shared" si="0"/>
        <v>Pass</v>
      </c>
    </row>
    <row r="9" spans="1:16" x14ac:dyDescent="0.3">
      <c r="A9" s="10">
        <f>'Res Compliance Calculator'!D55</f>
        <v>0</v>
      </c>
      <c r="B9" s="10">
        <f>'Res Compliance Calculator'!C55</f>
        <v>0</v>
      </c>
      <c r="C9" s="69" t="str" cm="1">
        <f t="array" ref="C9">_xlfn.IFNA(IF('Res Compliance Calculator'!D91='Res - Ordinance Values'!$B$27,"",(IF('Res Compliance Calculator'!$F91&gt;VLOOKUP('Res Compliance Calculator'!$D91,'Res - Ordinance Values'!$B$23:$F$28,_xlfn.IFS('Res Compliance Calculator'!$D$29="LZ1",3,'Res Compliance Calculator'!$D$29="LZ2",4),FALSE),"Lumens exceed limit,",""))),"")</f>
        <v/>
      </c>
      <c r="D9" s="56"/>
      <c r="E9" s="64"/>
      <c r="F9" s="69" t="str">
        <f>IF('Res Compliance Calculator'!I91="","",IF('Res Compliance Calculator'!I91&lt;2700,"CCT too low,",""))</f>
        <v/>
      </c>
      <c r="G9" s="70"/>
      <c r="H9" s="56"/>
      <c r="I9" s="69" t="e">
        <f>IF('Res Compliance Calculator'!$L91&lt;='Res Compliance Calculator'!#REF!,"","Exceeds allowed mounting height,")</f>
        <v>#REF!</v>
      </c>
      <c r="J9" s="65"/>
      <c r="K9" s="66"/>
      <c r="L9" s="66"/>
      <c r="P9" t="str">
        <f t="shared" si="0"/>
        <v>Pass</v>
      </c>
    </row>
    <row r="10" spans="1:16" x14ac:dyDescent="0.3">
      <c r="A10" s="10">
        <f>'Res Compliance Calculator'!D56</f>
        <v>0</v>
      </c>
      <c r="B10" s="10">
        <f>'Res Compliance Calculator'!C56</f>
        <v>0</v>
      </c>
      <c r="C10" s="69" t="str" cm="1">
        <f t="array" ref="C10">_xlfn.IFNA(IF('Res Compliance Calculator'!D92='Res - Ordinance Values'!$B$27,"",(IF('Res Compliance Calculator'!$F92&gt;VLOOKUP('Res Compliance Calculator'!$D92,'Res - Ordinance Values'!$B$23:$F$28,_xlfn.IFS('Res Compliance Calculator'!$D$29="LZ1",3,'Res Compliance Calculator'!$D$29="LZ2",4),FALSE),"Lumens exceed limit,",""))),"")</f>
        <v/>
      </c>
      <c r="D10" s="56"/>
      <c r="E10" s="64"/>
      <c r="F10" s="69" t="str">
        <f>IF('Res Compliance Calculator'!I92="","",IF('Res Compliance Calculator'!I92&lt;2700,"CCT too low,",""))</f>
        <v/>
      </c>
      <c r="G10" s="70"/>
      <c r="H10" s="56"/>
      <c r="I10" s="69" t="e">
        <f>IF('Res Compliance Calculator'!$L92&lt;='Res Compliance Calculator'!#REF!,"","Exceeds allowed mounting height,")</f>
        <v>#REF!</v>
      </c>
      <c r="J10" s="65"/>
      <c r="K10" s="66"/>
      <c r="L10" s="66"/>
      <c r="P10" t="str">
        <f t="shared" si="0"/>
        <v>Pass</v>
      </c>
    </row>
    <row r="11" spans="1:16" x14ac:dyDescent="0.3">
      <c r="A11" s="10">
        <f>'Res Compliance Calculator'!D57</f>
        <v>0</v>
      </c>
      <c r="B11" s="10">
        <f>'Res Compliance Calculator'!C57</f>
        <v>0</v>
      </c>
      <c r="C11" s="69" t="str" cm="1">
        <f t="array" ref="C11">_xlfn.IFNA(IF('Res Compliance Calculator'!D93='Res - Ordinance Values'!$B$27,"",(IF('Res Compliance Calculator'!$F93&gt;VLOOKUP('Res Compliance Calculator'!$D93,'Res - Ordinance Values'!$B$23:$F$28,_xlfn.IFS('Res Compliance Calculator'!$D$29="LZ1",3,'Res Compliance Calculator'!$D$29="LZ2",4),FALSE),"Lumens exceed limit,",""))),"")</f>
        <v/>
      </c>
      <c r="D11" s="56"/>
      <c r="E11" s="64"/>
      <c r="F11" s="69" t="str">
        <f>IF('Res Compliance Calculator'!I93="","",IF('Res Compliance Calculator'!I93&lt;2700,"CCT too low,",""))</f>
        <v/>
      </c>
      <c r="G11" s="70"/>
      <c r="H11" s="56"/>
      <c r="I11" s="69" t="e">
        <f>IF('Res Compliance Calculator'!$L93&lt;='Res Compliance Calculator'!#REF!,"","Exceeds allowed mounting height,")</f>
        <v>#REF!</v>
      </c>
      <c r="J11" s="65"/>
      <c r="K11" s="66"/>
      <c r="L11" s="66"/>
      <c r="P11" t="str">
        <f t="shared" si="0"/>
        <v>Pass</v>
      </c>
    </row>
    <row r="12" spans="1:16" x14ac:dyDescent="0.3">
      <c r="A12" s="10">
        <f>'Res Compliance Calculator'!D58</f>
        <v>0</v>
      </c>
      <c r="B12" s="10">
        <f>'Res Compliance Calculator'!C58</f>
        <v>0</v>
      </c>
      <c r="C12" s="69" t="str" cm="1">
        <f t="array" ref="C12">_xlfn.IFNA(IF('Res Compliance Calculator'!D94='Res - Ordinance Values'!$B$27,"",(IF('Res Compliance Calculator'!$F94&gt;VLOOKUP('Res Compliance Calculator'!$D94,'Res - Ordinance Values'!$B$23:$F$28,_xlfn.IFS('Res Compliance Calculator'!$D$29="LZ1",3,'Res Compliance Calculator'!$D$29="LZ2",4),FALSE),"Lumens exceed limit,",""))),"")</f>
        <v/>
      </c>
      <c r="D12" s="56"/>
      <c r="E12" s="64"/>
      <c r="F12" s="69" t="str">
        <f>IF('Res Compliance Calculator'!I94="","",IF('Res Compliance Calculator'!I94&lt;2700,"CCT too low,",""))</f>
        <v/>
      </c>
      <c r="G12" s="70"/>
      <c r="H12" s="56"/>
      <c r="I12" s="69" t="e">
        <f>IF('Res Compliance Calculator'!$L94&lt;='Res Compliance Calculator'!#REF!,"","Exceeds allowed mounting height,")</f>
        <v>#REF!</v>
      </c>
      <c r="J12" s="65"/>
      <c r="K12" s="66"/>
      <c r="L12" s="66"/>
      <c r="P12" t="str">
        <f t="shared" si="0"/>
        <v>Pass</v>
      </c>
    </row>
    <row r="13" spans="1:16" x14ac:dyDescent="0.3">
      <c r="A13" s="10">
        <f>'Res Compliance Calculator'!D59</f>
        <v>0</v>
      </c>
      <c r="B13" s="10">
        <f>'Res Compliance Calculator'!C59</f>
        <v>0</v>
      </c>
      <c r="C13" s="69" t="str" cm="1">
        <f t="array" ref="C13">_xlfn.IFNA(IF('Res Compliance Calculator'!D95='Res - Ordinance Values'!$B$27,"",(IF('Res Compliance Calculator'!$F95&gt;VLOOKUP('Res Compliance Calculator'!$D95,'Res - Ordinance Values'!$B$23:$F$28,_xlfn.IFS('Res Compliance Calculator'!$D$29="LZ1",3,'Res Compliance Calculator'!$D$29="LZ2",4),FALSE),"Lumens exceed limit,",""))),"")</f>
        <v/>
      </c>
      <c r="D13" s="56"/>
      <c r="E13" s="64"/>
      <c r="F13" s="69" t="str">
        <f>IF('Res Compliance Calculator'!I95="","",IF('Res Compliance Calculator'!I95&lt;2700,"CCT too low,",""))</f>
        <v/>
      </c>
      <c r="G13" s="70"/>
      <c r="H13" s="56"/>
      <c r="I13" s="69" t="e">
        <f>IF('Res Compliance Calculator'!$L95&lt;='Res Compliance Calculator'!#REF!,"","Exceeds allowed mounting height,")</f>
        <v>#REF!</v>
      </c>
      <c r="J13" s="65"/>
      <c r="K13" s="66"/>
      <c r="L13" s="66"/>
      <c r="P13" t="str">
        <f t="shared" si="0"/>
        <v>Pass</v>
      </c>
    </row>
    <row r="14" spans="1:16" x14ac:dyDescent="0.3">
      <c r="A14" s="10">
        <f>'Res Compliance Calculator'!D60</f>
        <v>0</v>
      </c>
      <c r="B14" s="10">
        <f>'Res Compliance Calculator'!C60</f>
        <v>0</v>
      </c>
      <c r="C14" s="69" t="str" cm="1">
        <f t="array" ref="C14">_xlfn.IFNA(IF('Res Compliance Calculator'!D96='Res - Ordinance Values'!$B$27,"",(IF('Res Compliance Calculator'!$F96&gt;VLOOKUP('Res Compliance Calculator'!$D96,'Res - Ordinance Values'!$B$23:$F$28,_xlfn.IFS('Res Compliance Calculator'!$D$29="LZ1",3,'Res Compliance Calculator'!$D$29="LZ2",4),FALSE),"Lumens exceed limit,",""))),"")</f>
        <v/>
      </c>
      <c r="D14" s="56"/>
      <c r="E14" s="64"/>
      <c r="F14" s="69" t="str">
        <f>IF('Res Compliance Calculator'!I96="","",IF('Res Compliance Calculator'!I96&lt;2700,"CCT too low,",""))</f>
        <v/>
      </c>
      <c r="G14" s="70"/>
      <c r="H14" s="56"/>
      <c r="I14" s="69" t="e">
        <f>IF('Res Compliance Calculator'!$L96&lt;='Res Compliance Calculator'!#REF!,"","Exceeds allowed mounting height,")</f>
        <v>#REF!</v>
      </c>
      <c r="J14" s="65"/>
      <c r="K14" s="66"/>
      <c r="L14" s="66"/>
      <c r="P14" t="str">
        <f t="shared" si="0"/>
        <v>Pass</v>
      </c>
    </row>
    <row r="15" spans="1:16" x14ac:dyDescent="0.3">
      <c r="A15" s="10">
        <f>'Res Compliance Calculator'!D61</f>
        <v>0</v>
      </c>
      <c r="B15" s="10">
        <f>'Res Compliance Calculator'!C61</f>
        <v>0</v>
      </c>
      <c r="C15" s="69" t="str" cm="1">
        <f t="array" ref="C15">_xlfn.IFNA(IF('Res Compliance Calculator'!D97='Res - Ordinance Values'!$B$27,"",(IF('Res Compliance Calculator'!$F97&gt;VLOOKUP('Res Compliance Calculator'!$D97,'Res - Ordinance Values'!$B$23:$F$28,_xlfn.IFS('Res Compliance Calculator'!$D$29="LZ1",3,'Res Compliance Calculator'!$D$29="LZ2",4),FALSE),"Lumens exceed limit,",""))),"")</f>
        <v/>
      </c>
      <c r="D15" s="56"/>
      <c r="E15" s="64"/>
      <c r="F15" s="69" t="str">
        <f>IF('Res Compliance Calculator'!I97="","",IF('Res Compliance Calculator'!I97&lt;2700,"CCT too low,",""))</f>
        <v/>
      </c>
      <c r="G15" s="70"/>
      <c r="H15" s="56"/>
      <c r="I15" s="69" t="e">
        <f>IF('Res Compliance Calculator'!$L97&lt;='Res Compliance Calculator'!#REF!,"","Exceeds allowed mounting height,")</f>
        <v>#REF!</v>
      </c>
      <c r="J15" s="65"/>
      <c r="K15" s="66"/>
      <c r="L15" s="66"/>
      <c r="P15" t="str">
        <f t="shared" si="0"/>
        <v>Pass</v>
      </c>
    </row>
    <row r="16" spans="1:16" x14ac:dyDescent="0.3">
      <c r="A16" s="10">
        <f>'Res Compliance Calculator'!D62</f>
        <v>0</v>
      </c>
      <c r="B16" s="10">
        <f>'Res Compliance Calculator'!C62</f>
        <v>0</v>
      </c>
      <c r="C16" s="69" t="str" cm="1">
        <f t="array" ref="C16">_xlfn.IFNA(IF('Res Compliance Calculator'!D98='Res - Ordinance Values'!$B$27,"",(IF('Res Compliance Calculator'!$F98&gt;VLOOKUP('Res Compliance Calculator'!$D98,'Res - Ordinance Values'!$B$23:$F$28,_xlfn.IFS('Res Compliance Calculator'!$D$29="LZ1",3,'Res Compliance Calculator'!$D$29="LZ2",4),FALSE),"Lumens exceed limit,",""))),"")</f>
        <v/>
      </c>
      <c r="D16" s="56"/>
      <c r="E16" s="64"/>
      <c r="F16" s="69" t="str">
        <f>IF('Res Compliance Calculator'!I98="","",IF('Res Compliance Calculator'!I98&lt;2700,"CCT too low,",""))</f>
        <v/>
      </c>
      <c r="G16" s="70"/>
      <c r="H16" s="56"/>
      <c r="I16" s="69" t="e">
        <f>IF('Res Compliance Calculator'!$L98&lt;='Res Compliance Calculator'!#REF!,"","Exceeds allowed mounting height,")</f>
        <v>#REF!</v>
      </c>
      <c r="J16" s="65"/>
      <c r="K16" s="66"/>
      <c r="L16" s="66"/>
      <c r="P16" t="str">
        <f t="shared" si="0"/>
        <v>Pass</v>
      </c>
    </row>
    <row r="17" spans="1:16" x14ac:dyDescent="0.3">
      <c r="A17" s="10">
        <f>'Res Compliance Calculator'!D63</f>
        <v>0</v>
      </c>
      <c r="B17" s="10">
        <f>'Res Compliance Calculator'!C63</f>
        <v>0</v>
      </c>
      <c r="C17" s="69" t="str" cm="1">
        <f t="array" ref="C17">_xlfn.IFNA(IF('Res Compliance Calculator'!D99='Res - Ordinance Values'!$B$27,"",(IF('Res Compliance Calculator'!$F99&gt;VLOOKUP('Res Compliance Calculator'!$D99,'Res - Ordinance Values'!$B$23:$F$28,_xlfn.IFS('Res Compliance Calculator'!$D$29="LZ1",3,'Res Compliance Calculator'!$D$29="LZ2",4),FALSE),"Lumens exceed limit,",""))),"")</f>
        <v/>
      </c>
      <c r="D17" s="56"/>
      <c r="E17" s="64"/>
      <c r="F17" s="69" t="str">
        <f>IF('Res Compliance Calculator'!I99="","",IF('Res Compliance Calculator'!I99&lt;2700,"CCT too low,",""))</f>
        <v/>
      </c>
      <c r="G17" s="70"/>
      <c r="H17" s="56"/>
      <c r="I17" s="69" t="e">
        <f>IF('Res Compliance Calculator'!$L99&lt;='Res Compliance Calculator'!#REF!,"","Exceeds allowed mounting height,")</f>
        <v>#REF!</v>
      </c>
      <c r="J17" s="65"/>
      <c r="K17" s="66"/>
      <c r="L17" s="66"/>
      <c r="P17" t="str">
        <f t="shared" si="0"/>
        <v>Pass</v>
      </c>
    </row>
    <row r="18" spans="1:16" x14ac:dyDescent="0.3">
      <c r="A18" s="10">
        <f>'Res Compliance Calculator'!D64</f>
        <v>0</v>
      </c>
      <c r="B18" s="10">
        <f>'Res Compliance Calculator'!C64</f>
        <v>0</v>
      </c>
      <c r="C18" s="69" t="str" cm="1">
        <f t="array" ref="C18">_xlfn.IFNA(IF('Res Compliance Calculator'!D100='Res - Ordinance Values'!$B$27,"",(IF('Res Compliance Calculator'!$E100&gt;VLOOKUP('Res Compliance Calculator'!$D100,'Res - Ordinance Values'!$B$23:$F$28,_xlfn.IFS('Res Compliance Calculator'!$D$29="LZ1",3,'Res Compliance Calculator'!$D$29="LZ2",4),FALSE),"Lumens exceed limit,",""))),"")</f>
        <v/>
      </c>
      <c r="D18" s="56"/>
      <c r="E18" s="64"/>
      <c r="F18" s="69" t="str">
        <f>IF('Res Compliance Calculator'!H100="","",IF('Res Compliance Calculator'!H100&lt;2700,"CCT too low,",""))</f>
        <v/>
      </c>
      <c r="G18" s="70"/>
      <c r="H18" s="56"/>
      <c r="I18" s="69" t="str">
        <f>IF('Res Compliance Calculator'!$K100&lt;='Res Compliance Calculator'!$J100,"","Exceeds allowed mounting height,")</f>
        <v/>
      </c>
      <c r="J18" s="65"/>
      <c r="K18" s="66"/>
      <c r="L18" s="66"/>
      <c r="P18" t="str">
        <f t="shared" si="0"/>
        <v>Pass</v>
      </c>
    </row>
    <row r="19" spans="1:16" x14ac:dyDescent="0.3">
      <c r="A19" s="10">
        <f>'Res Compliance Calculator'!D65</f>
        <v>0</v>
      </c>
      <c r="B19" s="10">
        <f>'Res Compliance Calculator'!C65</f>
        <v>0</v>
      </c>
      <c r="C19" s="69" t="str" cm="1">
        <f t="array" ref="C19">_xlfn.IFNA(IF('Res Compliance Calculator'!D101='Res - Ordinance Values'!$B$27,"",(IF('Res Compliance Calculator'!$E101&gt;VLOOKUP('Res Compliance Calculator'!$D101,'Res - Ordinance Values'!$B$23:$F$28,_xlfn.IFS('Res Compliance Calculator'!$D$29="LZ1",3,'Res Compliance Calculator'!$D$29="LZ2",4),FALSE),"Lumens exceed limit,",""))),"")</f>
        <v/>
      </c>
      <c r="D19" s="56"/>
      <c r="E19" s="64"/>
      <c r="F19" s="69" t="str">
        <f>IF('Res Compliance Calculator'!H101="","",IF('Res Compliance Calculator'!H101&lt;2700,"CCT too low,",""))</f>
        <v/>
      </c>
      <c r="G19" s="70"/>
      <c r="H19" s="56"/>
      <c r="I19" s="69" t="str">
        <f>IF('Res Compliance Calculator'!$K101&lt;='Res Compliance Calculator'!$J101,"","Exceeds allowed mounting height,")</f>
        <v/>
      </c>
      <c r="J19" s="65"/>
      <c r="K19" s="66"/>
      <c r="L19" s="66"/>
      <c r="P19" t="str">
        <f t="shared" si="0"/>
        <v>Pass</v>
      </c>
    </row>
    <row r="20" spans="1:16" x14ac:dyDescent="0.3">
      <c r="A20" s="10">
        <f>'Res Compliance Calculator'!D66</f>
        <v>0</v>
      </c>
      <c r="B20" s="10">
        <f>'Res Compliance Calculator'!C66</f>
        <v>0</v>
      </c>
      <c r="C20" s="69" t="str" cm="1">
        <f t="array" ref="C20">_xlfn.IFNA(IF('Res Compliance Calculator'!D104='Res - Ordinance Values'!$B$27,"",(IF('Res Compliance Calculator'!$E104&gt;VLOOKUP('Res Compliance Calculator'!$D104,'Res - Ordinance Values'!$B$23:$F$28,_xlfn.IFS('Res Compliance Calculator'!$D$29="LZ1",3,'Res Compliance Calculator'!$D$29="LZ2",4),FALSE),"Lumens exceed limit,",""))),"")</f>
        <v/>
      </c>
      <c r="D20" s="56"/>
      <c r="E20" s="64"/>
      <c r="F20" s="69" t="str">
        <f>IF('Res Compliance Calculator'!H104="","",IF('Res Compliance Calculator'!H104&lt;2700,"CCT too low,",""))</f>
        <v/>
      </c>
      <c r="G20" s="70"/>
      <c r="H20" s="56"/>
      <c r="I20" s="69" t="str">
        <f>IF('Res Compliance Calculator'!$K104&lt;='Res Compliance Calculator'!$J104,"","Exceeds allowed mounting height,")</f>
        <v/>
      </c>
      <c r="J20" s="65"/>
      <c r="K20" s="66"/>
      <c r="L20" s="66"/>
      <c r="P20" t="str">
        <f t="shared" si="0"/>
        <v>Pass</v>
      </c>
    </row>
    <row r="21" spans="1:16" x14ac:dyDescent="0.3">
      <c r="A21" s="10" t="str">
        <f>'Res Compliance Calculator'!D67</f>
        <v>Data</v>
      </c>
      <c r="B21" s="10" t="str">
        <f>'Res Compliance Calculator'!C67</f>
        <v>Description</v>
      </c>
      <c r="C21" s="69" t="str" cm="1">
        <f t="array" ref="C21">_xlfn.IFNA(IF('Res Compliance Calculator'!D105='Res - Ordinance Values'!$B$27,"",(IF('Res Compliance Calculator'!$E105&gt;VLOOKUP('Res Compliance Calculator'!$D105,'Res - Ordinance Values'!$B$23:$F$28,_xlfn.IFS('Res Compliance Calculator'!$D$29="LZ1",3,'Res Compliance Calculator'!$D$29="LZ2",4),FALSE),"Lumens exceed limit,",""))),"")</f>
        <v/>
      </c>
      <c r="D21" s="56"/>
      <c r="E21" s="64"/>
      <c r="F21" s="69" t="str">
        <f>IF('Res Compliance Calculator'!J105="","",IF('Res Compliance Calculator'!J105&lt;2700,"CCT too low,",""))</f>
        <v/>
      </c>
      <c r="G21" s="70"/>
      <c r="H21" s="56"/>
      <c r="I21" s="69" t="str">
        <f>IF('Res Compliance Calculator'!$M105&lt;='Res Compliance Calculator'!$L105,"","Exceeds allowed mounting height,")</f>
        <v/>
      </c>
      <c r="J21" s="65"/>
      <c r="K21" s="66"/>
      <c r="L21" s="66"/>
      <c r="P21" t="str">
        <f t="shared" si="0"/>
        <v>Pass</v>
      </c>
    </row>
    <row r="22" spans="1:16" x14ac:dyDescent="0.3">
      <c r="A22" s="10">
        <f>'Res Compliance Calculator'!D68</f>
        <v>2700</v>
      </c>
      <c r="B22" s="10" t="str">
        <f>'Res Compliance Calculator'!C68</f>
        <v>Total base lumen allowance</v>
      </c>
      <c r="C22" s="69" t="e" cm="1">
        <f t="array" ref="C22">_xlfn.IFNA(IF('Res Compliance Calculator'!#REF!='Res - Ordinance Values'!$B$27,"",(IF('Res Compliance Calculator'!#REF!&gt;VLOOKUP('Res Compliance Calculator'!#REF!,'Res - Ordinance Values'!$B$23:$F$28,_xlfn.IFS('Res Compliance Calculator'!$D$29="LZ1",3,'Res Compliance Calculator'!$D$29="LZ2",4),FALSE),"Lumens exceed limit,",""))),"")</f>
        <v>#REF!</v>
      </c>
      <c r="D22" s="56"/>
      <c r="E22" s="64"/>
      <c r="F22" s="69" t="str">
        <f>IF('Res Compliance Calculator'!J106="","",IF('Res Compliance Calculator'!J106&lt;2700,"CCT too low,",""))</f>
        <v/>
      </c>
      <c r="G22" s="70"/>
      <c r="H22" s="56"/>
      <c r="I22" s="69" t="str">
        <f>IF('Res Compliance Calculator'!$M106&lt;='Res Compliance Calculator'!$L106,"","Exceeds allowed mounting height,")</f>
        <v/>
      </c>
      <c r="J22" s="65"/>
      <c r="K22" s="66"/>
      <c r="L22" s="66"/>
      <c r="P22" t="str">
        <f t="shared" si="0"/>
        <v>Pass</v>
      </c>
    </row>
    <row r="23" spans="1:16" x14ac:dyDescent="0.3">
      <c r="A23" s="10">
        <f>'Res Compliance Calculator'!D69</f>
        <v>0</v>
      </c>
      <c r="B23" s="10" t="str">
        <f>'Res Compliance Calculator'!C69</f>
        <v>Total additional allowed lumens</v>
      </c>
      <c r="C23" s="69" t="e" cm="1">
        <f t="array" ref="C23">_xlfn.IFNA(IF('Res Compliance Calculator'!#REF!='Res - Ordinance Values'!$B$27,"",(IF('Res Compliance Calculator'!#REF!&gt;VLOOKUP('Res Compliance Calculator'!#REF!,'Res - Ordinance Values'!$B$23:$F$28,_xlfn.IFS('Res Compliance Calculator'!$D$29="LZ1",3,'Res Compliance Calculator'!$D$29="LZ2",4),FALSE),"Lumens exceed limit,",""))),"")</f>
        <v>#REF!</v>
      </c>
      <c r="D23" s="56"/>
      <c r="E23" s="64"/>
      <c r="F23" s="69" t="str">
        <f>IF('Res Compliance Calculator'!J107="","",IF('Res Compliance Calculator'!J107&lt;2700,"CCT too low,",""))</f>
        <v/>
      </c>
      <c r="G23" s="70"/>
      <c r="H23" s="56"/>
      <c r="I23" s="69" t="str">
        <f>IF('Res Compliance Calculator'!$M107&lt;='Res Compliance Calculator'!$L107,"","Exceeds allowed mounting height,")</f>
        <v/>
      </c>
      <c r="J23" s="65"/>
      <c r="K23" s="66"/>
      <c r="L23" s="66"/>
      <c r="P23" t="str">
        <f t="shared" si="0"/>
        <v>Pass</v>
      </c>
    </row>
    <row r="24" spans="1:16" x14ac:dyDescent="0.3">
      <c r="A24" s="10">
        <f>'Res Compliance Calculator'!D70</f>
        <v>2700</v>
      </c>
      <c r="B24" s="10" t="str">
        <f>'Res Compliance Calculator'!C70</f>
        <v>Total lumen allowance</v>
      </c>
      <c r="C24" s="69" t="e" cm="1">
        <f t="array" ref="C24">_xlfn.IFNA(IF('Res Compliance Calculator'!#REF!='Res - Ordinance Values'!$B$27,"",(IF('Res Compliance Calculator'!#REF!&gt;VLOOKUP('Res Compliance Calculator'!#REF!,'Res - Ordinance Values'!$B$23:$F$28,_xlfn.IFS('Res Compliance Calculator'!$D$29="LZ1",3,'Res Compliance Calculator'!$D$29="LZ2",4),FALSE),"Lumens exceed limit,",""))),"")</f>
        <v>#REF!</v>
      </c>
      <c r="D24" s="56"/>
      <c r="E24" s="64"/>
      <c r="F24" s="69" t="str">
        <f>IF('Res Compliance Calculator'!J108="","",IF('Res Compliance Calculator'!J108&lt;2700,"CCT too low,",""))</f>
        <v/>
      </c>
      <c r="G24" s="70"/>
      <c r="H24" s="56"/>
      <c r="I24" s="69" t="e">
        <f>IF('Res Compliance Calculator'!#REF!&lt;='Res Compliance Calculator'!$L108,"","Exceeds allowed mounting height,")</f>
        <v>#REF!</v>
      </c>
      <c r="J24" s="65"/>
      <c r="K24" s="66"/>
      <c r="L24" s="66"/>
      <c r="P24" t="str">
        <f t="shared" si="0"/>
        <v>Pass</v>
      </c>
    </row>
    <row r="25" spans="1:16" x14ac:dyDescent="0.3">
      <c r="A25" s="10">
        <f>'Res Compliance Calculator'!D71</f>
        <v>0</v>
      </c>
      <c r="B25" s="10">
        <f>'Res Compliance Calculator'!C71</f>
        <v>0</v>
      </c>
      <c r="C25" s="69" t="e" cm="1">
        <f t="array" ref="C25">_xlfn.IFNA(IF('Res Compliance Calculator'!#REF!='Res - Ordinance Values'!$B$27,"",(IF('Res Compliance Calculator'!#REF!&gt;VLOOKUP('Res Compliance Calculator'!#REF!,'Res - Ordinance Values'!$B$23:$F$28,_xlfn.IFS('Res Compliance Calculator'!$D$29="LZ1",3,'Res Compliance Calculator'!$D$29="LZ2",4),FALSE),"Lumens exceed limit,",""))),"")</f>
        <v>#REF!</v>
      </c>
      <c r="D25" s="56"/>
      <c r="E25" s="64"/>
      <c r="F25" s="69" t="str">
        <f>IF('Res Compliance Calculator'!H109="","",IF('Res Compliance Calculator'!H109&lt;2700,"CCT too low,",""))</f>
        <v/>
      </c>
      <c r="G25" s="70"/>
      <c r="H25" s="56"/>
      <c r="I25" s="69" t="e">
        <f>IF('Res Compliance Calculator'!#REF!&lt;='Res Compliance Calculator'!$J109,"","Exceeds allowed mounting height,")</f>
        <v>#REF!</v>
      </c>
      <c r="J25" s="65"/>
      <c r="K25" s="66"/>
      <c r="L25" s="66"/>
      <c r="P25" t="str">
        <f t="shared" si="0"/>
        <v>Pass</v>
      </c>
    </row>
    <row r="26" spans="1:16" x14ac:dyDescent="0.3">
      <c r="A26" s="10">
        <f ca="1">'Res Compliance Calculator'!D72</f>
        <v>0</v>
      </c>
      <c r="B26" s="10" t="str">
        <f>'Res Compliance Calculator'!C72</f>
        <v>Total proposed unshielded/partially shielded lumens</v>
      </c>
      <c r="C26" s="69" t="str" cm="1">
        <f t="array" ref="C26">_xlfn.IFNA(IF('Res Compliance Calculator'!D106='Res - Ordinance Values'!$B$27,"",(IF('Res Compliance Calculator'!$E106&gt;VLOOKUP('Res Compliance Calculator'!$D106,'Res - Ordinance Values'!$B$23:$F$28,_xlfn.IFS('Res Compliance Calculator'!$D$29="LZ1",3,'Res Compliance Calculator'!$D$29="LZ2",4),FALSE),"Lumens exceed limit,",""))),"")</f>
        <v/>
      </c>
      <c r="D26" s="56"/>
      <c r="E26" s="64"/>
      <c r="F26" s="69" t="str">
        <f>IF('Res Compliance Calculator'!H110="","",IF('Res Compliance Calculator'!H110&lt;2700,"CCT too low,",""))</f>
        <v/>
      </c>
      <c r="G26" s="70"/>
      <c r="H26" s="56"/>
      <c r="I26" s="69" t="e">
        <f>IF('Res Compliance Calculator'!#REF!&lt;='Res Compliance Calculator'!#REF!,"","Exceeds allowed mounting height,")</f>
        <v>#REF!</v>
      </c>
      <c r="J26" s="65"/>
      <c r="K26" s="66"/>
      <c r="L26" s="66"/>
      <c r="P26" t="str">
        <f t="shared" si="0"/>
        <v>Pass</v>
      </c>
    </row>
    <row r="27" spans="1:16" x14ac:dyDescent="0.3">
      <c r="A27" s="10">
        <f ca="1">'Res Compliance Calculator'!D73</f>
        <v>0</v>
      </c>
      <c r="B27" s="10" t="str">
        <f>'Res Compliance Calculator'!C73</f>
        <v>Proposed percentage unshielded/partially shielded lumens of total lumen allowance</v>
      </c>
      <c r="C27" s="69" t="str" cm="1">
        <f t="array" ref="C27">_xlfn.IFNA(IF('Res Compliance Calculator'!D107='Res - Ordinance Values'!$B$27,"",(IF('Res Compliance Calculator'!$E107&gt;VLOOKUP('Res Compliance Calculator'!$D107,'Res - Ordinance Values'!$B$23:$F$28,_xlfn.IFS('Res Compliance Calculator'!$D$29="LZ1",3,'Res Compliance Calculator'!$D$29="LZ2",4),FALSE),"Lumens exceed limit,",""))),"")</f>
        <v/>
      </c>
      <c r="D27" s="56"/>
      <c r="E27" s="64"/>
      <c r="F27" s="69" t="str">
        <f>IF('Res Compliance Calculator'!H111="","",IF('Res Compliance Calculator'!H111&lt;2700,"CCT too low,",""))</f>
        <v/>
      </c>
      <c r="G27" s="70"/>
      <c r="H27" s="56"/>
      <c r="I27" s="69" t="e">
        <f>IF('Res Compliance Calculator'!#REF!&lt;='Res Compliance Calculator'!$J113,"","Exceeds allowed mounting height,")</f>
        <v>#REF!</v>
      </c>
      <c r="J27" s="65"/>
      <c r="K27" s="66"/>
      <c r="L27" s="66"/>
      <c r="P27" t="str">
        <f t="shared" si="0"/>
        <v>Pass</v>
      </c>
    </row>
    <row r="28" spans="1:16" x14ac:dyDescent="0.3">
      <c r="A28" s="10">
        <f>'Res Compliance Calculator'!D74</f>
        <v>0</v>
      </c>
      <c r="B28" s="10" t="str">
        <f>'Res Compliance Calculator'!C74</f>
        <v>Total proposed  lumens</v>
      </c>
      <c r="C28" s="69" t="str" cm="1">
        <f t="array" ref="C28">_xlfn.IFNA(IF('Res Compliance Calculator'!D108='Res - Ordinance Values'!$B$27,"",(IF('Res Compliance Calculator'!$E108&gt;VLOOKUP('Res Compliance Calculator'!$D108,'Res - Ordinance Values'!$B$23:$F$28,_xlfn.IFS('Res Compliance Calculator'!$D$29="LZ1",3,'Res Compliance Calculator'!$D$29="LZ2",4),FALSE),"Lumens exceed limit,",""))),"")</f>
        <v/>
      </c>
      <c r="D28" s="56"/>
      <c r="E28" s="64"/>
      <c r="F28" s="69" t="str">
        <f>IF('Res Compliance Calculator'!H112="","",IF('Res Compliance Calculator'!H112&lt;2700,"CCT too low,",""))</f>
        <v/>
      </c>
      <c r="G28" s="70"/>
      <c r="H28" s="56"/>
      <c r="I28" s="69" t="e">
        <f>IF('Res Compliance Calculator'!#REF!&lt;='Res Compliance Calculator'!$J114,"","Exceeds allowed mounting height,")</f>
        <v>#REF!</v>
      </c>
      <c r="J28" s="65"/>
      <c r="K28" s="66"/>
      <c r="L28" s="66"/>
      <c r="P28" t="str">
        <f t="shared" si="0"/>
        <v>Pass</v>
      </c>
    </row>
    <row r="29" spans="1:16" x14ac:dyDescent="0.3">
      <c r="A29" s="10" t="e">
        <f>'Res Compliance Calculator'!#REF!</f>
        <v>#REF!</v>
      </c>
      <c r="B29" s="10">
        <f>'Res Compliance Calculator'!C75</f>
        <v>0</v>
      </c>
      <c r="C29" s="69" t="str" cm="1">
        <f t="array" ref="C29">_xlfn.IFNA(IF('Res Compliance Calculator'!D109='Res - Ordinance Values'!$B$27,"",(IF('Res Compliance Calculator'!$E109&gt;VLOOKUP('Res Compliance Calculator'!$D109,'Res - Ordinance Values'!$B$23:$F$28,_xlfn.IFS('Res Compliance Calculator'!$D$29="LZ1",3,'Res Compliance Calculator'!$D$29="LZ2",4),FALSE),"Lumens exceed limit,",""))),"")</f>
        <v/>
      </c>
      <c r="D29" s="56"/>
      <c r="E29" s="64"/>
      <c r="F29" s="69" t="str">
        <f>IF('Res Compliance Calculator'!H113="","",IF('Res Compliance Calculator'!H113&lt;2700,"CCT too low,",""))</f>
        <v/>
      </c>
      <c r="G29" s="70"/>
      <c r="H29" s="56"/>
      <c r="I29" s="69" t="e">
        <f>IF('Res Compliance Calculator'!#REF!&lt;='Res Compliance Calculator'!$J115,"","Exceeds allowed mounting height,")</f>
        <v>#REF!</v>
      </c>
      <c r="J29" s="65"/>
      <c r="K29" s="66"/>
      <c r="L29" s="66"/>
      <c r="P29" t="str">
        <f t="shared" si="0"/>
        <v>Pass</v>
      </c>
    </row>
    <row r="30" spans="1:16" x14ac:dyDescent="0.3">
      <c r="A30" s="10">
        <f>'Res Compliance Calculator'!D75</f>
        <v>0</v>
      </c>
      <c r="B30" s="10">
        <f>'Res Compliance Calculator'!C79</f>
        <v>0</v>
      </c>
      <c r="C30" s="69" t="str" cm="1">
        <f t="array" ref="C30">_xlfn.IFNA(IF('Res Compliance Calculator'!D110='Res - Ordinance Values'!$B$27,"",(IF('Res Compliance Calculator'!$E110&gt;VLOOKUP('Res Compliance Calculator'!$D110,'Res - Ordinance Values'!$B$23:$F$28,_xlfn.IFS('Res Compliance Calculator'!$D$29="LZ1",3,'Res Compliance Calculator'!$D$29="LZ2",4),FALSE),"Lumens exceed limit,",""))),"")</f>
        <v/>
      </c>
      <c r="D30" s="56"/>
      <c r="E30" s="64"/>
      <c r="F30" s="69" t="str">
        <f>IF('Res Compliance Calculator'!H114="","",IF('Res Compliance Calculator'!H114&lt;2700,"CCT too low,",""))</f>
        <v/>
      </c>
      <c r="G30" s="70"/>
      <c r="H30" s="56"/>
      <c r="I30" s="69" t="e">
        <f>IF('Res Compliance Calculator'!$K114&lt;='Res Compliance Calculator'!#REF!,"","Exceeds allowed mounting height,")</f>
        <v>#REF!</v>
      </c>
      <c r="J30" s="65"/>
      <c r="K30" s="66"/>
      <c r="L30" s="66"/>
      <c r="P30" t="str">
        <f t="shared" si="0"/>
        <v>Pass</v>
      </c>
    </row>
    <row r="31" spans="1:16" x14ac:dyDescent="0.3">
      <c r="A31" s="10" t="e">
        <f>'Res Compliance Calculator'!#REF!</f>
        <v>#REF!</v>
      </c>
      <c r="B31" s="10" t="e">
        <f>'Res Compliance Calculator'!#REF!</f>
        <v>#REF!</v>
      </c>
      <c r="C31" s="69" t="str" cm="1">
        <f t="array" ref="C31">_xlfn.IFNA(IF('Res Compliance Calculator'!D111='Res - Ordinance Values'!$B$27,"",(IF('Res Compliance Calculator'!$E111&gt;VLOOKUP('Res Compliance Calculator'!$D111,'Res - Ordinance Values'!$B$23:$F$28,_xlfn.IFS('Res Compliance Calculator'!$D$29="LZ1",3,'Res Compliance Calculator'!$D$29="LZ2",4),FALSE),"Lumens exceed limit,",""))),"")</f>
        <v/>
      </c>
      <c r="D31" s="56"/>
      <c r="E31" s="64"/>
      <c r="F31" s="69" t="str">
        <f>IF('Res Compliance Calculator'!H115="","",IF('Res Compliance Calculator'!H115&lt;2700,"CCT too low,",""))</f>
        <v/>
      </c>
      <c r="G31" s="70"/>
      <c r="H31" s="56"/>
      <c r="I31" s="69" t="e">
        <f>IF('Res Compliance Calculator'!$K115&lt;='Res Compliance Calculator'!#REF!,"","Exceeds allowed mounting height,")</f>
        <v>#REF!</v>
      </c>
      <c r="J31" s="65"/>
      <c r="K31" s="66"/>
      <c r="L31" s="66"/>
      <c r="P31" t="str">
        <f t="shared" si="0"/>
        <v>Pass</v>
      </c>
    </row>
    <row r="32" spans="1:16" x14ac:dyDescent="0.3">
      <c r="A32" s="10" t="str">
        <f>'Res Compliance Calculator'!D76</f>
        <v>Yes</v>
      </c>
      <c r="B32" s="10" t="str">
        <f>'Res Compliance Calculator'!C76</f>
        <v>Scope triggers entire property into compliance?</v>
      </c>
      <c r="C32" s="69" t="str" cm="1">
        <f t="array" ref="C32">_xlfn.IFNA(IF('Res Compliance Calculator'!D112='Res - Ordinance Values'!$B$27,"",(IF('Res Compliance Calculator'!$E112&gt;VLOOKUP('Res Compliance Calculator'!$D112,'Res - Ordinance Values'!$B$23:$F$28,_xlfn.IFS('Res Compliance Calculator'!$D$29="LZ1",3,'Res Compliance Calculator'!$D$29="LZ2",4),FALSE),"Lumens exceed limit,",""))),"")</f>
        <v/>
      </c>
      <c r="D32" s="56"/>
      <c r="E32" s="64"/>
      <c r="F32" s="69" t="str">
        <f>IF('Res Compliance Calculator'!H116="","",IF('Res Compliance Calculator'!H116&lt;2700,"CCT too low,",""))</f>
        <v/>
      </c>
      <c r="G32" s="70"/>
      <c r="H32" s="56"/>
      <c r="I32" s="69" t="str">
        <f>IF('Res Compliance Calculator'!$K116&lt;='Res Compliance Calculator'!$J116,"","Exceeds allowed mounting height,")</f>
        <v/>
      </c>
      <c r="J32" s="65"/>
      <c r="K32" s="66"/>
      <c r="L32" s="66"/>
      <c r="P32" t="str">
        <f t="shared" si="0"/>
        <v>Pass</v>
      </c>
    </row>
    <row r="33" spans="1:16" x14ac:dyDescent="0.3">
      <c r="A33" s="10">
        <f>'Res Compliance Calculator'!D83</f>
        <v>0</v>
      </c>
      <c r="B33" s="10" t="str">
        <f>'Res Compliance Calculator'!C83</f>
        <v xml:space="preserve">If the scope does not trigger the entire property into compliance, only new and replaced fixtures need to comply with the adopted regulations. Non-conformities cannot be increased - the proposed lumens on the site must decrease (or conform), the percentage of unshielded/partially shielded fixtures must decrease (or conform), and any new or replaced fixtures must conform with shielding requirements. If the proposal decreases the non-conformity but does not eliminate it, this table must be filled out. </v>
      </c>
      <c r="C33" s="69" t="str" cm="1">
        <f t="array" ref="C33">_xlfn.IFNA(IF('Res Compliance Calculator'!D113='Res - Ordinance Values'!$B$27,"",(IF('Res Compliance Calculator'!$E113&gt;VLOOKUP('Res Compliance Calculator'!$D113,'Res - Ordinance Values'!$B$23:$F$28,_xlfn.IFS('Res Compliance Calculator'!$D$29="LZ1",3,'Res Compliance Calculator'!$D$29="LZ2",4),FALSE),"Lumens exceed limit,",""))),"")</f>
        <v/>
      </c>
      <c r="D33" s="56"/>
      <c r="E33" s="64"/>
      <c r="F33" s="69" t="str">
        <f>IF('Res Compliance Calculator'!H117="","",IF('Res Compliance Calculator'!H117&lt;2700,"CCT too low,",""))</f>
        <v/>
      </c>
      <c r="G33" s="70"/>
      <c r="H33" s="56"/>
      <c r="I33" s="69" t="str">
        <f>IF('Res Compliance Calculator'!$K117&lt;='Res Compliance Calculator'!$J117,"","Exceeds allowed mounting height,")</f>
        <v/>
      </c>
      <c r="J33" s="65"/>
      <c r="K33" s="66"/>
      <c r="L33" s="66"/>
      <c r="P33" t="str">
        <f t="shared" si="0"/>
        <v>Pass</v>
      </c>
    </row>
    <row r="34" spans="1:16" x14ac:dyDescent="0.3">
      <c r="A34" s="10">
        <f>'Res Compliance Calculator'!D85</f>
        <v>0</v>
      </c>
      <c r="B34" s="10" t="str">
        <f>'Res Compliance Calculator'!C85</f>
        <v>Instructions: fill out yellow fields. Each different fixture type needs its own line. Please utilize drop down menus when applicable. If a fixture does not fit into a "mounting type fixture/application", choose "other".  Reach out to comdevzoning@aspen.gov if more than 10 fixture types are proposed.</v>
      </c>
      <c r="C34" s="69" t="str" cm="1">
        <f t="array" ref="C34">_xlfn.IFNA(IF('Res Compliance Calculator'!D114='Res - Ordinance Values'!$B$27,"",(IF('Res Compliance Calculator'!$E114&gt;VLOOKUP('Res Compliance Calculator'!$D114,'Res - Ordinance Values'!$B$23:$F$28,_xlfn.IFS('Res Compliance Calculator'!$D$29="LZ1",3,'Res Compliance Calculator'!$D$29="LZ2",4),FALSE),"Lumens exceed limit,",""))),"")</f>
        <v/>
      </c>
      <c r="D34" s="56"/>
      <c r="E34" s="64"/>
      <c r="F34" s="69" t="str">
        <f>IF('Res Compliance Calculator'!H118="","",IF('Res Compliance Calculator'!H118&lt;2700,"CCT too low,",""))</f>
        <v/>
      </c>
      <c r="G34" s="70"/>
      <c r="H34" s="56"/>
      <c r="I34" s="69" t="str">
        <f>IF('Res Compliance Calculator'!$K118&lt;='Res Compliance Calculator'!$J118,"","Exceeds allowed mounting height,")</f>
        <v/>
      </c>
      <c r="J34" s="65"/>
      <c r="K34" s="66"/>
      <c r="L34" s="66"/>
      <c r="P34" t="str">
        <f t="shared" si="0"/>
        <v>Pass</v>
      </c>
    </row>
    <row r="35" spans="1:16" x14ac:dyDescent="0.3">
      <c r="A35" s="10">
        <f>'Res Compliance Calculator'!D86</f>
        <v>0</v>
      </c>
      <c r="B35" s="10">
        <f>'Res Compliance Calculator'!C86</f>
        <v>0</v>
      </c>
      <c r="C35" s="69" t="str" cm="1">
        <f t="array" ref="C35">_xlfn.IFNA(IF('Res Compliance Calculator'!D115='Res - Ordinance Values'!$B$27,"",(IF('Res Compliance Calculator'!$E115&gt;VLOOKUP('Res Compliance Calculator'!$D115,'Res - Ordinance Values'!$B$23:$F$28,_xlfn.IFS('Res Compliance Calculator'!$D$29="LZ1",3,'Res Compliance Calculator'!$D$29="LZ2",4),FALSE),"Lumens exceed limit,",""))),"")</f>
        <v/>
      </c>
      <c r="D35" s="56"/>
      <c r="E35" s="64"/>
      <c r="F35" s="69" t="str">
        <f>IF('Res Compliance Calculator'!H119="","",IF('Res Compliance Calculator'!H119&lt;2700,"CCT too low,",""))</f>
        <v/>
      </c>
      <c r="G35" s="70"/>
      <c r="H35" s="56"/>
      <c r="I35" s="69" t="str">
        <f>IF('Res Compliance Calculator'!$K119&lt;='Res Compliance Calculator'!$J119,"","Exceeds allowed mounting height,")</f>
        <v/>
      </c>
      <c r="J35" s="65"/>
      <c r="K35" s="66"/>
      <c r="L35" s="66"/>
      <c r="P35" t="str">
        <f t="shared" si="0"/>
        <v>Pass</v>
      </c>
    </row>
    <row r="36" spans="1:16" x14ac:dyDescent="0.3">
      <c r="A36" s="10" t="str">
        <f>'Res Compliance Calculator'!D87</f>
        <v>Fixture Type</v>
      </c>
      <c r="B36" s="10" t="str">
        <f>'Res Compliance Calculator'!C87</f>
        <v>Fixture Label (as shown on lighting plan)</v>
      </c>
      <c r="C36" s="69" t="str" cm="1">
        <f t="array" ref="C36">_xlfn.IFNA(IF('Res Compliance Calculator'!D116='Res - Ordinance Values'!$B$27,"",(IF('Res Compliance Calculator'!$E116&gt;VLOOKUP('Res Compliance Calculator'!$D116,'Res - Ordinance Values'!$B$23:$F$28,_xlfn.IFS('Res Compliance Calculator'!$D$29="LZ1",3,'Res Compliance Calculator'!$D$29="LZ2",4),FALSE),"Lumens exceed limit,",""))),"")</f>
        <v/>
      </c>
      <c r="D36" s="56"/>
      <c r="E36" s="64"/>
      <c r="F36" s="69" t="str">
        <f>IF('Res Compliance Calculator'!H120="","",IF('Res Compliance Calculator'!H120&lt;2700,"CCT too low,",""))</f>
        <v/>
      </c>
      <c r="G36" s="70"/>
      <c r="H36" s="56"/>
      <c r="I36" s="69" t="str">
        <f>IF('Res Compliance Calculator'!$K120&lt;='Res Compliance Calculator'!$J120,"","Exceeds allowed mounting height,")</f>
        <v/>
      </c>
      <c r="J36" s="65"/>
      <c r="K36" s="66"/>
      <c r="L36" s="66"/>
      <c r="P36" t="str">
        <f t="shared" si="0"/>
        <v>Pass</v>
      </c>
    </row>
    <row r="37" spans="1:16" x14ac:dyDescent="0.3">
      <c r="A37" s="10" t="str">
        <f>'Res Compliance Calculator'!D88</f>
        <v>Please choose from dropdown</v>
      </c>
      <c r="B37" s="10">
        <f>'Res Compliance Calculator'!C88</f>
        <v>0</v>
      </c>
      <c r="C37" s="69" t="str" cm="1">
        <f t="array" ref="C37">_xlfn.IFNA(IF('Res Compliance Calculator'!D117='Res - Ordinance Values'!$B$27,"",(IF('Res Compliance Calculator'!$E117&gt;VLOOKUP('Res Compliance Calculator'!$D117,'Res - Ordinance Values'!$B$23:$F$28,_xlfn.IFS('Res Compliance Calculator'!$D$29="LZ1",3,'Res Compliance Calculator'!$D$29="LZ2",4),FALSE),"Lumens exceed limit,",""))),"")</f>
        <v/>
      </c>
      <c r="D37" s="56"/>
      <c r="E37" s="64"/>
      <c r="F37" s="69" t="str">
        <f>IF('Res Compliance Calculator'!H121="","",IF('Res Compliance Calculator'!H121&lt;2700,"CCT too low,",""))</f>
        <v/>
      </c>
      <c r="G37" s="70"/>
      <c r="H37" s="56"/>
      <c r="I37" s="69" t="str">
        <f>IF('Res Compliance Calculator'!$K121&lt;='Res Compliance Calculator'!$J121,"","Exceeds allowed mounting height,")</f>
        <v/>
      </c>
      <c r="J37" s="65"/>
      <c r="K37" s="66"/>
      <c r="L37" s="66"/>
      <c r="P37" t="str">
        <f t="shared" si="0"/>
        <v>Pass</v>
      </c>
    </row>
    <row r="38" spans="1:16" x14ac:dyDescent="0.3">
      <c r="A38" s="10">
        <f>'Res Compliance Calculator'!D89</f>
        <v>0</v>
      </c>
      <c r="B38" s="10">
        <f>'Res Compliance Calculator'!C89</f>
        <v>0</v>
      </c>
      <c r="C38" s="69" t="str" cm="1">
        <f t="array" ref="C38">_xlfn.IFNA(IF('Res Compliance Calculator'!D118='Res - Ordinance Values'!$B$27,"",(IF('Res Compliance Calculator'!$E118&gt;VLOOKUP('Res Compliance Calculator'!$D118,'Res - Ordinance Values'!$B$23:$F$28,_xlfn.IFS('Res Compliance Calculator'!$D$29="LZ1",3,'Res Compliance Calculator'!$D$29="LZ2",4),FALSE),"Lumens exceed limit,",""))),"")</f>
        <v/>
      </c>
      <c r="D38" s="56"/>
      <c r="E38" s="64"/>
      <c r="F38" s="69" t="str">
        <f>IF('Res Compliance Calculator'!H122="","",IF('Res Compliance Calculator'!H122&lt;2700,"CCT too low,",""))</f>
        <v/>
      </c>
      <c r="G38" s="70"/>
      <c r="H38" s="56"/>
      <c r="I38" s="69" t="str">
        <f>IF('Res Compliance Calculator'!$K122&lt;='Res Compliance Calculator'!$J122,"","Exceeds allowed mounting height,")</f>
        <v/>
      </c>
      <c r="J38" s="65"/>
      <c r="K38" s="66"/>
      <c r="L38" s="66"/>
      <c r="P38" t="str">
        <f t="shared" si="0"/>
        <v>Pass</v>
      </c>
    </row>
    <row r="39" spans="1:16" x14ac:dyDescent="0.3">
      <c r="A39" s="10">
        <f>'Res Compliance Calculator'!D90</f>
        <v>0</v>
      </c>
      <c r="B39" s="10">
        <f>'Res Compliance Calculator'!C90</f>
        <v>0</v>
      </c>
      <c r="C39" s="69" t="str" cm="1">
        <f t="array" ref="C39">_xlfn.IFNA(IF('Res Compliance Calculator'!D119='Res - Ordinance Values'!$B$27,"",(IF('Res Compliance Calculator'!$E119&gt;VLOOKUP('Res Compliance Calculator'!$D119,'Res - Ordinance Values'!$B$23:$F$28,_xlfn.IFS('Res Compliance Calculator'!$D$29="LZ1",3,'Res Compliance Calculator'!$D$29="LZ2",4),FALSE),"Lumens exceed limit,",""))),"")</f>
        <v/>
      </c>
      <c r="D39" s="56"/>
      <c r="E39" s="64"/>
      <c r="F39" s="69" t="str">
        <f>IF('Res Compliance Calculator'!H123="","",IF('Res Compliance Calculator'!H123&lt;2700,"CCT too low,",""))</f>
        <v/>
      </c>
      <c r="G39" s="70"/>
      <c r="H39" s="56"/>
      <c r="I39" s="69" t="str">
        <f>IF('Res Compliance Calculator'!$K123&lt;='Res Compliance Calculator'!$J123,"","Exceeds allowed mounting height,")</f>
        <v/>
      </c>
      <c r="J39" s="65"/>
      <c r="K39" s="66"/>
      <c r="L39" s="66"/>
      <c r="P39" t="str">
        <f t="shared" si="0"/>
        <v>Pass</v>
      </c>
    </row>
    <row r="40" spans="1:16" x14ac:dyDescent="0.3">
      <c r="A40" s="10">
        <f>'Res Compliance Calculator'!D91</f>
        <v>0</v>
      </c>
      <c r="B40" s="10">
        <f>'Res Compliance Calculator'!C91</f>
        <v>0</v>
      </c>
      <c r="C40" s="69" t="str" cm="1">
        <f t="array" ref="C40">_xlfn.IFNA(IF('Res Compliance Calculator'!D120='Res - Ordinance Values'!$B$27,"",(IF('Res Compliance Calculator'!$E120&gt;VLOOKUP('Res Compliance Calculator'!$D120,'Res - Ordinance Values'!$B$23:$F$28,_xlfn.IFS('Res Compliance Calculator'!$D$29="LZ1",3,'Res Compliance Calculator'!$D$29="LZ2",4),FALSE),"Lumens exceed limit,",""))),"")</f>
        <v/>
      </c>
      <c r="D40" s="56"/>
      <c r="E40" s="64"/>
      <c r="F40" s="69" t="str">
        <f>IF('Res Compliance Calculator'!H124="","",IF('Res Compliance Calculator'!H124&lt;2700,"CCT too low,",""))</f>
        <v/>
      </c>
      <c r="G40" s="70"/>
      <c r="H40" s="56"/>
      <c r="I40" s="69" t="str">
        <f>IF('Res Compliance Calculator'!$K124&lt;='Res Compliance Calculator'!$J124,"","Exceeds allowed mounting height,")</f>
        <v/>
      </c>
      <c r="J40" s="65"/>
      <c r="K40" s="66"/>
      <c r="L40" s="66"/>
      <c r="P40" t="str">
        <f t="shared" si="0"/>
        <v>Pass</v>
      </c>
    </row>
    <row r="41" spans="1:16" x14ac:dyDescent="0.3">
      <c r="A41" s="10">
        <f>'Res Compliance Calculator'!D92</f>
        <v>0</v>
      </c>
      <c r="B41" s="10">
        <f>'Res Compliance Calculator'!C92</f>
        <v>0</v>
      </c>
      <c r="C41" s="69" t="str" cm="1">
        <f t="array" ref="C41">_xlfn.IFNA(IF('Res Compliance Calculator'!D121='Res - Ordinance Values'!$B$27,"",(IF('Res Compliance Calculator'!$E121&gt;VLOOKUP('Res Compliance Calculator'!$D121,'Res - Ordinance Values'!$B$23:$F$28,_xlfn.IFS('Res Compliance Calculator'!$D$29="LZ1",3,'Res Compliance Calculator'!$D$29="LZ2",4),FALSE),"Lumens exceed limit,",""))),"")</f>
        <v/>
      </c>
      <c r="D41" s="56"/>
      <c r="E41" s="64"/>
      <c r="F41" s="69" t="str">
        <f>IF('Res Compliance Calculator'!H125="","",IF('Res Compliance Calculator'!H125&lt;2700,"CCT too low,",""))</f>
        <v/>
      </c>
      <c r="G41" s="70"/>
      <c r="H41" s="56"/>
      <c r="I41" s="69" t="str">
        <f>IF('Res Compliance Calculator'!$K125&lt;='Res Compliance Calculator'!$J125,"","Exceeds allowed mounting height,")</f>
        <v/>
      </c>
      <c r="J41" s="65"/>
      <c r="K41" s="66"/>
      <c r="L41" s="66"/>
      <c r="P41" t="str">
        <f t="shared" si="0"/>
        <v>Pass</v>
      </c>
    </row>
    <row r="42" spans="1:16" x14ac:dyDescent="0.3">
      <c r="A42" s="10">
        <f>'Res Compliance Calculator'!D93</f>
        <v>0</v>
      </c>
      <c r="B42" s="10">
        <f>'Res Compliance Calculator'!C93</f>
        <v>0</v>
      </c>
      <c r="C42" s="69" t="str" cm="1">
        <f t="array" ref="C42">_xlfn.IFNA(IF('Res Compliance Calculator'!D122='Res - Ordinance Values'!$B$27,"",(IF('Res Compliance Calculator'!$E122&gt;VLOOKUP('Res Compliance Calculator'!$D122,'Res - Ordinance Values'!$B$23:$F$28,_xlfn.IFS('Res Compliance Calculator'!$D$29="LZ1",3,'Res Compliance Calculator'!$D$29="LZ2",4),FALSE),"Lumens exceed limit,",""))),"")</f>
        <v/>
      </c>
      <c r="D42" s="56"/>
      <c r="E42" s="64"/>
      <c r="F42" s="69" t="str">
        <f>IF('Res Compliance Calculator'!H126="","",IF('Res Compliance Calculator'!H126&lt;2700,"CCT too low,",""))</f>
        <v/>
      </c>
      <c r="G42" s="70"/>
      <c r="H42" s="56"/>
      <c r="I42" s="69" t="str">
        <f>IF('Res Compliance Calculator'!$K126&lt;='Res Compliance Calculator'!$J126,"","Exceeds allowed mounting height,")</f>
        <v/>
      </c>
      <c r="J42" s="65"/>
      <c r="K42" s="66"/>
      <c r="L42" s="66"/>
      <c r="P42" t="str">
        <f t="shared" si="0"/>
        <v>Pass</v>
      </c>
    </row>
    <row r="43" spans="1:16" x14ac:dyDescent="0.3">
      <c r="A43" s="10">
        <f>'Res Compliance Calculator'!D94</f>
        <v>0</v>
      </c>
      <c r="B43" s="10">
        <f>'Res Compliance Calculator'!C94</f>
        <v>0</v>
      </c>
      <c r="C43" s="69" t="str" cm="1">
        <f t="array" ref="C43">_xlfn.IFNA(IF('Res Compliance Calculator'!D123='Res - Ordinance Values'!$B$27,"",(IF('Res Compliance Calculator'!$E123&gt;VLOOKUP('Res Compliance Calculator'!$D123,'Res - Ordinance Values'!$B$23:$F$28,_xlfn.IFS('Res Compliance Calculator'!$D$29="LZ1",3,'Res Compliance Calculator'!$D$29="LZ2",4),FALSE),"Lumens exceed limit,",""))),"")</f>
        <v/>
      </c>
      <c r="D43" s="56"/>
      <c r="E43" s="64"/>
      <c r="F43" s="69" t="str">
        <f>IF('Res Compliance Calculator'!H127="","",IF('Res Compliance Calculator'!H127&lt;2700,"CCT too low,",""))</f>
        <v/>
      </c>
      <c r="G43" s="70"/>
      <c r="H43" s="56"/>
      <c r="I43" s="69" t="str">
        <f>IF('Res Compliance Calculator'!$K127&lt;='Res Compliance Calculator'!$J127,"","Exceeds allowed mounting height,")</f>
        <v/>
      </c>
      <c r="J43" s="65"/>
      <c r="K43" s="66"/>
      <c r="L43" s="66"/>
      <c r="P43" t="str">
        <f t="shared" si="0"/>
        <v>Pass</v>
      </c>
    </row>
    <row r="44" spans="1:16" x14ac:dyDescent="0.3">
      <c r="A44" s="10">
        <f>'Res Compliance Calculator'!D95</f>
        <v>0</v>
      </c>
      <c r="B44" s="10">
        <f>'Res Compliance Calculator'!C95</f>
        <v>0</v>
      </c>
      <c r="C44" s="69" t="str" cm="1">
        <f t="array" ref="C44">_xlfn.IFNA(IF('Res Compliance Calculator'!D124='Res - Ordinance Values'!$B$27,"",(IF('Res Compliance Calculator'!$E124&gt;VLOOKUP('Res Compliance Calculator'!$D124,'Res - Ordinance Values'!$B$23:$F$28,_xlfn.IFS('Res Compliance Calculator'!$D$29="LZ1",3,'Res Compliance Calculator'!$D$29="LZ2",4),FALSE),"Lumens exceed limit,",""))),"")</f>
        <v/>
      </c>
      <c r="D44" s="56"/>
      <c r="E44" s="64"/>
      <c r="F44" s="69" t="str">
        <f>IF('Res Compliance Calculator'!H128="","",IF('Res Compliance Calculator'!H128&lt;2700,"CCT too low,",""))</f>
        <v/>
      </c>
      <c r="G44" s="70"/>
      <c r="H44" s="56"/>
      <c r="I44" s="69" t="str">
        <f>IF('Res Compliance Calculator'!$K128&lt;='Res Compliance Calculator'!$J128,"","Exceeds allowed mounting height,")</f>
        <v/>
      </c>
      <c r="J44" s="65"/>
      <c r="K44" s="66"/>
      <c r="L44" s="66"/>
      <c r="P44" t="str">
        <f t="shared" si="0"/>
        <v>Pass</v>
      </c>
    </row>
    <row r="45" spans="1:16" x14ac:dyDescent="0.3">
      <c r="A45" s="10">
        <f>'Res Compliance Calculator'!D96</f>
        <v>0</v>
      </c>
      <c r="B45" s="10">
        <f>'Res Compliance Calculator'!C96</f>
        <v>0</v>
      </c>
      <c r="C45" s="69" t="str" cm="1">
        <f t="array" ref="C45">_xlfn.IFNA(IF('Res Compliance Calculator'!D125='Res - Ordinance Values'!$B$27,"",(IF('Res Compliance Calculator'!$E125&gt;VLOOKUP('Res Compliance Calculator'!$D125,'Res - Ordinance Values'!$B$23:$F$28,_xlfn.IFS('Res Compliance Calculator'!$D$29="LZ1",3,'Res Compliance Calculator'!$D$29="LZ2",4),FALSE),"Lumens exceed limit,",""))),"")</f>
        <v/>
      </c>
      <c r="D45" s="56"/>
      <c r="E45" s="64"/>
      <c r="F45" s="69" t="str">
        <f>IF('Res Compliance Calculator'!H129="","",IF('Res Compliance Calculator'!H129&lt;2700,"CCT too low,",""))</f>
        <v/>
      </c>
      <c r="G45" s="70"/>
      <c r="H45" s="56"/>
      <c r="I45" s="69" t="str">
        <f>IF('Res Compliance Calculator'!$K129&lt;='Res Compliance Calculator'!$J129,"","Exceeds allowed mounting height,")</f>
        <v/>
      </c>
      <c r="J45" s="65"/>
      <c r="K45" s="66"/>
      <c r="L45" s="66"/>
      <c r="P45" t="str">
        <f t="shared" si="0"/>
        <v>Pass</v>
      </c>
    </row>
    <row r="46" spans="1:16" x14ac:dyDescent="0.3">
      <c r="A46" s="10">
        <f>'Res Compliance Calculator'!D97</f>
        <v>0</v>
      </c>
      <c r="B46" s="10">
        <f>'Res Compliance Calculator'!C97</f>
        <v>0</v>
      </c>
      <c r="C46" s="69" t="str" cm="1">
        <f t="array" ref="C46">_xlfn.IFNA(IF('Res Compliance Calculator'!D126='Res - Ordinance Values'!$B$27,"",(IF('Res Compliance Calculator'!$E126&gt;VLOOKUP('Res Compliance Calculator'!$D126,'Res - Ordinance Values'!$B$23:$F$28,_xlfn.IFS('Res Compliance Calculator'!$D$29="LZ1",3,'Res Compliance Calculator'!$D$29="LZ2",4),FALSE),"Lumens exceed limit,",""))),"")</f>
        <v/>
      </c>
      <c r="D46" s="56"/>
      <c r="E46" s="64"/>
      <c r="F46" s="69" t="str">
        <f>IF('Res Compliance Calculator'!H130="","",IF('Res Compliance Calculator'!H130&lt;2700,"CCT too low,",""))</f>
        <v/>
      </c>
      <c r="G46" s="70"/>
      <c r="H46" s="56"/>
      <c r="I46" s="69" t="str">
        <f>IF('Res Compliance Calculator'!$K130&lt;='Res Compliance Calculator'!$J130,"","Exceeds allowed mounting height,")</f>
        <v/>
      </c>
      <c r="J46" s="65"/>
      <c r="K46" s="66"/>
      <c r="L46" s="66"/>
      <c r="P46" t="str">
        <f t="shared" si="0"/>
        <v>Pass</v>
      </c>
    </row>
    <row r="47" spans="1:16" x14ac:dyDescent="0.3">
      <c r="A47" s="10">
        <f>'Res Compliance Calculator'!D98</f>
        <v>0</v>
      </c>
      <c r="B47" s="10">
        <f>'Res Compliance Calculator'!C98</f>
        <v>0</v>
      </c>
      <c r="C47" s="69" t="str" cm="1">
        <f t="array" ref="C47">_xlfn.IFNA(IF('Res Compliance Calculator'!D127='Res - Ordinance Values'!$B$27,"",(IF('Res Compliance Calculator'!$E127&gt;VLOOKUP('Res Compliance Calculator'!$D127,'Res - Ordinance Values'!$B$23:$F$28,_xlfn.IFS('Res Compliance Calculator'!$D$29="LZ1",3,'Res Compliance Calculator'!$D$29="LZ2",4),FALSE),"Lumens exceed limit,",""))),"")</f>
        <v/>
      </c>
      <c r="D47" s="56"/>
      <c r="E47" s="64"/>
      <c r="F47" s="69" t="str">
        <f>IF('Res Compliance Calculator'!H131="","",IF('Res Compliance Calculator'!H131&lt;2700,"CCT too low,",""))</f>
        <v/>
      </c>
      <c r="G47" s="70"/>
      <c r="H47" s="56"/>
      <c r="I47" s="69" t="str">
        <f>IF('Res Compliance Calculator'!$K131&lt;='Res Compliance Calculator'!$J131,"","Exceeds allowed mounting height,")</f>
        <v/>
      </c>
      <c r="J47" s="65"/>
      <c r="K47" s="66"/>
      <c r="L47" s="66"/>
      <c r="P47" t="str">
        <f t="shared" si="0"/>
        <v>Pass</v>
      </c>
    </row>
    <row r="48" spans="1:16" x14ac:dyDescent="0.3">
      <c r="A48" s="10">
        <f>'Res Compliance Calculator'!D99</f>
        <v>0</v>
      </c>
      <c r="B48" s="10">
        <f>'Res Compliance Calculator'!C99</f>
        <v>0</v>
      </c>
      <c r="C48" s="69" t="str" cm="1">
        <f t="array" ref="C48">_xlfn.IFNA(IF('Res Compliance Calculator'!D128='Res - Ordinance Values'!$B$27,"",(IF('Res Compliance Calculator'!$E128&gt;VLOOKUP('Res Compliance Calculator'!$D128,'Res - Ordinance Values'!$B$23:$F$28,_xlfn.IFS('Res Compliance Calculator'!$D$29="LZ1",3,'Res Compliance Calculator'!$D$29="LZ2",4),FALSE),"Lumens exceed limit,",""))),"")</f>
        <v/>
      </c>
      <c r="D48" s="56"/>
      <c r="E48" s="64"/>
      <c r="F48" s="69" t="str">
        <f>IF('Res Compliance Calculator'!H132="","",IF('Res Compliance Calculator'!H132&lt;2700,"CCT too low,",""))</f>
        <v/>
      </c>
      <c r="G48" s="70"/>
      <c r="H48" s="56"/>
      <c r="I48" s="69" t="str">
        <f>IF('Res Compliance Calculator'!$K132&lt;='Res Compliance Calculator'!$J132,"","Exceeds allowed mounting height,")</f>
        <v/>
      </c>
      <c r="J48" s="65"/>
      <c r="K48" s="66"/>
      <c r="L48" s="66"/>
      <c r="P48" t="str">
        <f t="shared" si="0"/>
        <v>Pass</v>
      </c>
    </row>
    <row r="49" spans="1:16" x14ac:dyDescent="0.3">
      <c r="A49" s="10">
        <f>'Res Compliance Calculator'!D100</f>
        <v>0</v>
      </c>
      <c r="B49" s="10">
        <f>'Res Compliance Calculator'!C100</f>
        <v>0</v>
      </c>
      <c r="C49" s="69" t="str" cm="1">
        <f t="array" ref="C49">_xlfn.IFNA(IF('Res Compliance Calculator'!D129='Res - Ordinance Values'!$B$27,"",(IF('Res Compliance Calculator'!$E129&gt;VLOOKUP('Res Compliance Calculator'!$D129,'Res - Ordinance Values'!$B$23:$F$28,_xlfn.IFS('Res Compliance Calculator'!$D$29="LZ1",3,'Res Compliance Calculator'!$D$29="LZ2",4),FALSE),"Lumens exceed limit,",""))),"")</f>
        <v/>
      </c>
      <c r="D49" s="56"/>
      <c r="E49" s="64"/>
      <c r="F49" s="69" t="str">
        <f>IF('Res Compliance Calculator'!H133="","",IF('Res Compliance Calculator'!H133&lt;2700,"CCT too low,",""))</f>
        <v/>
      </c>
      <c r="G49" s="70"/>
      <c r="H49" s="56"/>
      <c r="I49" s="69" t="str">
        <f>IF('Res Compliance Calculator'!$K133&lt;='Res Compliance Calculator'!$J133,"","Exceeds allowed mounting height,")</f>
        <v/>
      </c>
      <c r="J49" s="65"/>
      <c r="K49" s="66"/>
      <c r="L49" s="66"/>
      <c r="P49" t="str">
        <f t="shared" si="0"/>
        <v>Pass</v>
      </c>
    </row>
    <row r="50" spans="1:16" x14ac:dyDescent="0.3">
      <c r="A50" s="10">
        <f>'Res Compliance Calculator'!D101</f>
        <v>0</v>
      </c>
      <c r="B50" s="10">
        <f>'Res Compliance Calculator'!C101</f>
        <v>0</v>
      </c>
      <c r="C50" s="69" t="str" cm="1">
        <f t="array" ref="C50">_xlfn.IFNA(IF('Res Compliance Calculator'!D130='Res - Ordinance Values'!$B$27,"",(IF('Res Compliance Calculator'!$E130&gt;VLOOKUP('Res Compliance Calculator'!$D130,'Res - Ordinance Values'!$B$23:$F$28,_xlfn.IFS('Res Compliance Calculator'!$D$29="LZ1",3,'Res Compliance Calculator'!$D$29="LZ2",4),FALSE),"Lumens exceed limit,",""))),"")</f>
        <v/>
      </c>
      <c r="D50" s="56"/>
      <c r="E50" s="64"/>
      <c r="F50" s="69" t="str">
        <f>IF('Res Compliance Calculator'!H134="","",IF('Res Compliance Calculator'!H134&lt;2700,"CCT too low,",""))</f>
        <v/>
      </c>
      <c r="G50" s="70"/>
      <c r="H50" s="56"/>
      <c r="I50" s="69" t="str">
        <f>IF('Res Compliance Calculator'!$K134&lt;='Res Compliance Calculator'!$J134,"","Exceeds allowed mounting height,")</f>
        <v/>
      </c>
      <c r="J50" s="65"/>
      <c r="K50" s="66"/>
      <c r="L50" s="66"/>
      <c r="P50" t="str">
        <f t="shared" si="0"/>
        <v>Pass</v>
      </c>
    </row>
    <row r="51" spans="1:16" x14ac:dyDescent="0.3">
      <c r="A51" s="10">
        <f>'Res Compliance Calculator'!D104</f>
        <v>0</v>
      </c>
      <c r="B51" s="10">
        <f>'Res Compliance Calculator'!C104</f>
        <v>0</v>
      </c>
      <c r="C51" s="69" t="str" cm="1">
        <f t="array" ref="C51">_xlfn.IFNA(IF('Res Compliance Calculator'!D131='Res - Ordinance Values'!$B$27,"",(IF('Res Compliance Calculator'!$E131&gt;VLOOKUP('Res Compliance Calculator'!$D131,'Res - Ordinance Values'!$B$23:$F$28,_xlfn.IFS('Res Compliance Calculator'!$D$29="LZ1",3,'Res Compliance Calculator'!$D$29="LZ2",4),FALSE),"Lumens exceed limit,",""))),"")</f>
        <v/>
      </c>
      <c r="D51" s="56"/>
      <c r="E51" s="64"/>
      <c r="F51" s="69" t="str">
        <f>IF('Res Compliance Calculator'!H135="","",IF('Res Compliance Calculator'!H135&lt;2700,"CCT too low,",""))</f>
        <v/>
      </c>
      <c r="G51" s="70"/>
      <c r="H51" s="56"/>
      <c r="I51" s="69" t="str">
        <f>IF('Res Compliance Calculator'!$K135&lt;='Res Compliance Calculator'!$J135,"","Exceeds allowed mounting height,")</f>
        <v/>
      </c>
      <c r="J51" s="65"/>
      <c r="K51" s="66"/>
      <c r="L51" s="66"/>
      <c r="P51" t="str">
        <f t="shared" si="0"/>
        <v>Pass</v>
      </c>
    </row>
    <row r="52" spans="1:16" x14ac:dyDescent="0.3">
      <c r="A52" s="10" t="str">
        <f>'Res Compliance Calculator'!D105</f>
        <v>Existing Parcel Analysis</v>
      </c>
      <c r="B52" s="10" t="str">
        <f>'Res Compliance Calculator'!C105</f>
        <v>Description</v>
      </c>
      <c r="C52" s="69" t="str" cm="1">
        <f t="array" ref="C52">_xlfn.IFNA(IF('Res Compliance Calculator'!D132='Res - Ordinance Values'!$B$27,"",(IF('Res Compliance Calculator'!$E132&gt;VLOOKUP('Res Compliance Calculator'!$D132,'Res - Ordinance Values'!$B$23:$F$28,_xlfn.IFS('Res Compliance Calculator'!$D$29="LZ1",3,'Res Compliance Calculator'!$D$29="LZ2",4),FALSE),"Lumens exceed limit,",""))),"")</f>
        <v/>
      </c>
      <c r="D52" s="56"/>
      <c r="E52" s="64"/>
      <c r="F52" s="69" t="str">
        <f>IF('Res Compliance Calculator'!H136="","",IF('Res Compliance Calculator'!H136&lt;2700,"CCT too low,",""))</f>
        <v/>
      </c>
      <c r="G52" s="70"/>
      <c r="H52" s="56"/>
      <c r="I52" s="69" t="str">
        <f>IF('Res Compliance Calculator'!$K136&lt;='Res Compliance Calculator'!$J136,"","Exceeds allowed mounting height,")</f>
        <v/>
      </c>
      <c r="J52" s="65"/>
      <c r="K52" s="66"/>
      <c r="L52" s="66"/>
      <c r="P52" t="str">
        <f t="shared" si="0"/>
        <v>Pass</v>
      </c>
    </row>
    <row r="53" spans="1:16" x14ac:dyDescent="0.3">
      <c r="A53" s="10" t="e">
        <f>'Res Compliance Calculator'!#REF!</f>
        <v>#REF!</v>
      </c>
      <c r="B53" s="10" t="e">
        <f>'Res Compliance Calculator'!#REF!</f>
        <v>#REF!</v>
      </c>
      <c r="C53" s="69" t="str" cm="1">
        <f t="array" ref="C53">_xlfn.IFNA(IF('Res Compliance Calculator'!D133='Res - Ordinance Values'!$B$27,"",(IF('Res Compliance Calculator'!$E133&gt;VLOOKUP('Res Compliance Calculator'!$D133,'Res - Ordinance Values'!$B$23:$F$28,_xlfn.IFS('Res Compliance Calculator'!$D$29="LZ1",3,'Res Compliance Calculator'!$D$29="LZ2",4),FALSE),"Lumens exceed limit,",""))),"")</f>
        <v/>
      </c>
      <c r="D53" s="56"/>
      <c r="E53" s="64"/>
      <c r="F53" s="69" t="str">
        <f>IF('Res Compliance Calculator'!H137="","",IF('Res Compliance Calculator'!H137&lt;2700,"CCT too low,",""))</f>
        <v/>
      </c>
      <c r="G53" s="70"/>
      <c r="H53" s="56"/>
      <c r="I53" s="69" t="str">
        <f>IF('Res Compliance Calculator'!$K137&lt;='Res Compliance Calculator'!$J137,"","Exceeds allowed mounting height,")</f>
        <v/>
      </c>
      <c r="J53" s="65"/>
      <c r="K53" s="66"/>
      <c r="L53" s="66"/>
      <c r="P53" t="str">
        <f t="shared" si="0"/>
        <v>Pass</v>
      </c>
    </row>
    <row r="54" spans="1:16" x14ac:dyDescent="0.3">
      <c r="A54" s="10" t="e">
        <f>'Res Compliance Calculator'!#REF!</f>
        <v>#REF!</v>
      </c>
      <c r="B54" s="10" t="e">
        <f>'Res Compliance Calculator'!#REF!</f>
        <v>#REF!</v>
      </c>
      <c r="C54" s="69" t="str" cm="1">
        <f t="array" ref="C54">_xlfn.IFNA(IF('Res Compliance Calculator'!D134='Res - Ordinance Values'!$B$27,"",(IF('Res Compliance Calculator'!$E134&gt;VLOOKUP('Res Compliance Calculator'!$D134,'Res - Ordinance Values'!$B$23:$F$28,_xlfn.IFS('Res Compliance Calculator'!$D$29="LZ1",3,'Res Compliance Calculator'!$D$29="LZ2",4),FALSE),"Lumens exceed limit,",""))),"")</f>
        <v/>
      </c>
      <c r="D54" s="56"/>
      <c r="E54" s="64"/>
      <c r="F54" s="69" t="str">
        <f>IF('Res Compliance Calculator'!H138="","",IF('Res Compliance Calculator'!H138&lt;2700,"CCT too low,",""))</f>
        <v/>
      </c>
      <c r="G54" s="70"/>
      <c r="H54" s="56"/>
      <c r="I54" s="69" t="str">
        <f>IF('Res Compliance Calculator'!$K138&lt;='Res Compliance Calculator'!$J138,"","Exceeds allowed mounting height,")</f>
        <v/>
      </c>
      <c r="J54" s="65"/>
      <c r="K54" s="66"/>
      <c r="L54" s="66"/>
      <c r="P54" t="str">
        <f t="shared" si="0"/>
        <v>Pass</v>
      </c>
    </row>
    <row r="55" spans="1:16" x14ac:dyDescent="0.3">
      <c r="A55" s="10" t="e">
        <f>'Res Compliance Calculator'!#REF!</f>
        <v>#REF!</v>
      </c>
      <c r="B55" s="10" t="e">
        <f>'Res Compliance Calculator'!#REF!</f>
        <v>#REF!</v>
      </c>
      <c r="C55" s="69" t="str" cm="1">
        <f t="array" ref="C55">_xlfn.IFNA(IF('Res Compliance Calculator'!D135='Res - Ordinance Values'!$B$27,"",(IF('Res Compliance Calculator'!$E135&gt;VLOOKUP('Res Compliance Calculator'!$D135,'Res - Ordinance Values'!$B$23:$F$28,_xlfn.IFS('Res Compliance Calculator'!$D$29="LZ1",3,'Res Compliance Calculator'!$D$29="LZ2",4),FALSE),"Lumens exceed limit,",""))),"")</f>
        <v/>
      </c>
      <c r="D55" s="56"/>
      <c r="E55" s="64"/>
      <c r="F55" s="69" t="str">
        <f>IF('Res Compliance Calculator'!H139="","",IF('Res Compliance Calculator'!H139&lt;2700,"CCT too low,",""))</f>
        <v/>
      </c>
      <c r="G55" s="70"/>
      <c r="H55" s="56"/>
      <c r="I55" s="69" t="str">
        <f>IF('Res Compliance Calculator'!$K139&lt;='Res Compliance Calculator'!$J139,"","Exceeds allowed mounting height,")</f>
        <v/>
      </c>
      <c r="J55" s="65"/>
      <c r="K55" s="66"/>
      <c r="L55" s="66"/>
      <c r="P55" t="str">
        <f t="shared" si="0"/>
        <v>Pass</v>
      </c>
    </row>
    <row r="56" spans="1:16" x14ac:dyDescent="0.3">
      <c r="A56" s="10" t="e">
        <f>'Res Compliance Calculator'!#REF!</f>
        <v>#REF!</v>
      </c>
      <c r="B56" s="10" t="e">
        <f>'Res Compliance Calculator'!#REF!</f>
        <v>#REF!</v>
      </c>
      <c r="C56" s="69" t="str" cm="1">
        <f t="array" ref="C56">_xlfn.IFNA(IF('Res Compliance Calculator'!D136='Res - Ordinance Values'!$B$27,"",(IF('Res Compliance Calculator'!$E136&gt;VLOOKUP('Res Compliance Calculator'!$D136,'Res - Ordinance Values'!$B$23:$F$28,_xlfn.IFS('Res Compliance Calculator'!$D$29="LZ1",3,'Res Compliance Calculator'!$D$29="LZ2",4),FALSE),"Lumens exceed limit,",""))),"")</f>
        <v/>
      </c>
      <c r="D56" s="56"/>
      <c r="E56" s="64"/>
      <c r="F56" s="69" t="str">
        <f>IF('Res Compliance Calculator'!H140="","",IF('Res Compliance Calculator'!H140&lt;2700,"CCT too low,",""))</f>
        <v/>
      </c>
      <c r="G56" s="70"/>
      <c r="H56" s="56"/>
      <c r="I56" s="69" t="str">
        <f>IF('Res Compliance Calculator'!$K140&lt;='Res Compliance Calculator'!$J140,"","Exceeds allowed mounting height,")</f>
        <v/>
      </c>
      <c r="J56" s="65"/>
      <c r="K56" s="66"/>
      <c r="L56" s="66"/>
      <c r="P56" t="str">
        <f t="shared" si="0"/>
        <v>Pass</v>
      </c>
    </row>
  </sheetData>
  <sheetProtection algorithmName="SHA-512" hashValue="+udPzsFM8iXlsqDsOE6LVDAbJhVxelrIp9tYTDijeNv5+4bS/Kz8OAiu/LymUXkm5GRFtVKkHqyIUhxGQtidCQ==" saltValue="F5MISUPjhcwMf7hoOKb+pg==" spinCount="100000" sheet="1" objects="1" scenarios="1"/>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7C5DE-D506-4361-BE4F-941BCEA9EC30}">
  <dimension ref="A1:Q57"/>
  <sheetViews>
    <sheetView topLeftCell="C1" zoomScale="85" zoomScaleNormal="85" workbookViewId="0">
      <selection activeCell="K40" sqref="K40"/>
    </sheetView>
  </sheetViews>
  <sheetFormatPr defaultRowHeight="14.4" x14ac:dyDescent="0.3"/>
  <cols>
    <col min="1" max="1" width="38.6640625" bestFit="1" customWidth="1"/>
    <col min="2" max="2" width="36.44140625" style="66" customWidth="1"/>
    <col min="3" max="3" width="32.33203125" customWidth="1"/>
    <col min="4" max="4" width="23.88671875" customWidth="1"/>
    <col min="5" max="6" width="14.109375" customWidth="1"/>
    <col min="7" max="7" width="32" customWidth="1"/>
    <col min="8" max="8" width="28.88671875" customWidth="1"/>
    <col min="9" max="9" width="30.6640625" bestFit="1" customWidth="1"/>
    <col min="10" max="10" width="19.6640625" customWidth="1"/>
    <col min="11" max="11" width="20.33203125" customWidth="1"/>
    <col min="12" max="12" width="18.6640625" customWidth="1"/>
    <col min="13" max="13" width="12.109375" customWidth="1"/>
    <col min="16" max="16" width="11.6640625" customWidth="1"/>
  </cols>
  <sheetData>
    <row r="1" spans="1:17" x14ac:dyDescent="0.3">
      <c r="A1" t="s">
        <v>190</v>
      </c>
    </row>
    <row r="2" spans="1:17" x14ac:dyDescent="0.3">
      <c r="A2" t="s">
        <v>187</v>
      </c>
    </row>
    <row r="3" spans="1:17" x14ac:dyDescent="0.3">
      <c r="A3" t="s">
        <v>186</v>
      </c>
      <c r="C3">
        <f>COUNTIF(C6:I6,"?*")</f>
        <v>0</v>
      </c>
    </row>
    <row r="5" spans="1:17" s="11" customFormat="1" ht="28.8" x14ac:dyDescent="0.3">
      <c r="A5" s="31" t="s">
        <v>131</v>
      </c>
      <c r="B5" s="102" t="s">
        <v>247</v>
      </c>
      <c r="C5" s="32" t="s">
        <v>163</v>
      </c>
      <c r="D5" s="32" t="s">
        <v>188</v>
      </c>
      <c r="E5" s="32" t="s">
        <v>4</v>
      </c>
      <c r="F5" s="32" t="s">
        <v>253</v>
      </c>
      <c r="G5" s="32" t="s">
        <v>254</v>
      </c>
      <c r="H5" s="32" t="s">
        <v>148</v>
      </c>
      <c r="I5" s="67" t="s">
        <v>153</v>
      </c>
      <c r="J5" s="32" t="s">
        <v>154</v>
      </c>
      <c r="K5" s="33" t="s">
        <v>125</v>
      </c>
      <c r="L5" s="33" t="s">
        <v>126</v>
      </c>
      <c r="M5" s="33" t="s">
        <v>127</v>
      </c>
      <c r="N5" s="67" t="s">
        <v>10</v>
      </c>
      <c r="O5" s="68" t="s">
        <v>70</v>
      </c>
      <c r="P5" s="67" t="s">
        <v>122</v>
      </c>
      <c r="Q5" s="11" t="s">
        <v>121</v>
      </c>
    </row>
    <row r="6" spans="1:17" x14ac:dyDescent="0.3">
      <c r="A6" s="10" t="str">
        <f>'NonRes Compliance Calculator'!D100</f>
        <v>Choose from dropdown</v>
      </c>
      <c r="B6" s="56"/>
      <c r="C6" s="10">
        <f>'NonRes Compliance Calculator'!C100</f>
        <v>0</v>
      </c>
      <c r="D6" s="10" t="str" cm="1">
        <f t="array" ref="D6">_xlfn.IFNA(IF('NonRes Compliance Calculator'!D100='Non-res - Ordinance Values'!$B$20,"",(IF('NonRes Compliance Calculator'!F100&gt;VLOOKUP('NonRes Compliance Calculator'!D100,'Non-res - Ordinance Values'!$B$15:$F$21,_xlfn.IFS('NonRes Compliance Calculator'!$D$27="LZ1",3,'NonRes Compliance Calculator'!$D$27="LZ2",4),FALSE),"Lumens exceed limit,",""))),"")</f>
        <v/>
      </c>
      <c r="E6" s="56"/>
      <c r="F6" s="57" t="str">
        <f>IF('NonRes Compliance Calculator'!I100="","",IF('NonRes Compliance Calculator'!I100&gt;3000,"CCT too high,",""))</f>
        <v/>
      </c>
      <c r="G6" s="10" t="str">
        <f>IF('NonRes Compliance Calculator'!I100="","",IF('NonRes Compliance Calculator'!I100&lt;2700,"CCT too low,",""))</f>
        <v/>
      </c>
      <c r="H6" s="70"/>
      <c r="I6" s="56"/>
      <c r="J6" s="10" t="str">
        <f>IF('NonRes Compliance Calculator'!L100&lt;='NonRes Compliance Calculator'!K100,"","Exceeds allowed mounting height,")</f>
        <v/>
      </c>
      <c r="K6" s="65"/>
      <c r="L6" s="66"/>
      <c r="M6" s="66"/>
      <c r="Q6" t="str">
        <f>IF(COUNTIF(D6:J6,"?*")&gt;0,"Fail","Pass")</f>
        <v>Pass</v>
      </c>
    </row>
    <row r="7" spans="1:17" x14ac:dyDescent="0.3">
      <c r="A7" s="10">
        <f>'NonRes Compliance Calculator'!D101</f>
        <v>0</v>
      </c>
      <c r="B7" s="56"/>
      <c r="C7" s="10">
        <f>'NonRes Compliance Calculator'!C101</f>
        <v>0</v>
      </c>
      <c r="D7" s="10" t="str" cm="1">
        <f t="array" ref="D7">_xlfn.IFNA(IF('NonRes Compliance Calculator'!D101='Non-res - Ordinance Values'!$B$20,"",(IF('NonRes Compliance Calculator'!F101&gt;VLOOKUP('NonRes Compliance Calculator'!D101,'Non-res - Ordinance Values'!$B$15:$F$21,_xlfn.IFS('NonRes Compliance Calculator'!$D$27="LZ1",3,'NonRes Compliance Calculator'!$D$27="LZ2",4),FALSE),"Lumens exceed limit,",""))),"")</f>
        <v/>
      </c>
      <c r="E7" s="56"/>
      <c r="F7" s="57" t="str">
        <f>IF('NonRes Compliance Calculator'!I101="","",IF('NonRes Compliance Calculator'!I101&gt;3000,"CCT too high,",""))</f>
        <v/>
      </c>
      <c r="G7" s="10" t="str">
        <f>IF('NonRes Compliance Calculator'!I101="","",IF('NonRes Compliance Calculator'!I101&lt;2700,"CCT too low,",""))</f>
        <v/>
      </c>
      <c r="H7" s="70"/>
      <c r="I7" s="56"/>
      <c r="J7" s="10" t="str">
        <f>IF('NonRes Compliance Calculator'!L101&lt;='NonRes Compliance Calculator'!K101,"","Exceeds allowed mounting height,")</f>
        <v/>
      </c>
      <c r="K7" s="65"/>
      <c r="L7" s="66"/>
      <c r="M7" s="66"/>
      <c r="Q7" t="str">
        <f t="shared" ref="Q7:Q57" si="0">IF(COUNTIF(D7:J7,"?*")&gt;0,"Fail","Pass")</f>
        <v>Pass</v>
      </c>
    </row>
    <row r="8" spans="1:17" x14ac:dyDescent="0.3">
      <c r="A8" s="10">
        <f>'NonRes Compliance Calculator'!D102</f>
        <v>0</v>
      </c>
      <c r="B8" s="56"/>
      <c r="C8" s="10">
        <f>'NonRes Compliance Calculator'!C102</f>
        <v>0</v>
      </c>
      <c r="D8" s="10" t="str" cm="1">
        <f t="array" ref="D8">_xlfn.IFNA(IF('NonRes Compliance Calculator'!D102='Non-res - Ordinance Values'!$B$20,"",(IF('NonRes Compliance Calculator'!F102&gt;VLOOKUP('NonRes Compliance Calculator'!D102,'Non-res - Ordinance Values'!$B$15:$F$21,_xlfn.IFS('NonRes Compliance Calculator'!$D$27="LZ1",3,'NonRes Compliance Calculator'!$D$27="LZ2",4),FALSE),"Lumens exceed limit,",""))),"")</f>
        <v/>
      </c>
      <c r="E8" s="56"/>
      <c r="F8" s="57" t="str">
        <f>IF('NonRes Compliance Calculator'!I102="","",IF('NonRes Compliance Calculator'!I102&gt;3000,"CCT too high,",""))</f>
        <v/>
      </c>
      <c r="G8" s="10" t="str">
        <f>IF('NonRes Compliance Calculator'!I102="","",IF('NonRes Compliance Calculator'!I102&lt;2700,"CCT too low,",""))</f>
        <v/>
      </c>
      <c r="H8" s="70"/>
      <c r="I8" s="56"/>
      <c r="J8" s="10" t="str">
        <f>IF('NonRes Compliance Calculator'!L102&lt;='NonRes Compliance Calculator'!K102,"","Exceeds allowed mounting height,")</f>
        <v/>
      </c>
      <c r="K8" s="65"/>
      <c r="L8" s="66"/>
      <c r="M8" s="66"/>
      <c r="Q8" t="str">
        <f t="shared" si="0"/>
        <v>Pass</v>
      </c>
    </row>
    <row r="9" spans="1:17" x14ac:dyDescent="0.3">
      <c r="A9" s="10">
        <f>'NonRes Compliance Calculator'!D103</f>
        <v>0</v>
      </c>
      <c r="B9" s="56"/>
      <c r="C9" s="10">
        <f>'NonRes Compliance Calculator'!C103</f>
        <v>0</v>
      </c>
      <c r="D9" s="10" t="str" cm="1">
        <f t="array" ref="D9">_xlfn.IFNA(IF('NonRes Compliance Calculator'!D103='Non-res - Ordinance Values'!$B$20,"",(IF('NonRes Compliance Calculator'!F103&gt;VLOOKUP('NonRes Compliance Calculator'!D103,'Non-res - Ordinance Values'!$B$15:$F$21,_xlfn.IFS('NonRes Compliance Calculator'!$D$27="LZ1",3,'NonRes Compliance Calculator'!$D$27="LZ2",4),FALSE),"Lumens exceed limit,",""))),"")</f>
        <v/>
      </c>
      <c r="E9" s="56"/>
      <c r="F9" s="57" t="str">
        <f>IF('NonRes Compliance Calculator'!I103="","",IF('NonRes Compliance Calculator'!I103&gt;3000,"CCT too high,",""))</f>
        <v/>
      </c>
      <c r="G9" s="10" t="str">
        <f>IF('NonRes Compliance Calculator'!I103="","",IF('NonRes Compliance Calculator'!I103&lt;2700,"CCT too low,",""))</f>
        <v/>
      </c>
      <c r="H9" s="70"/>
      <c r="I9" s="56"/>
      <c r="J9" s="10" t="str">
        <f>IF('NonRes Compliance Calculator'!L103&lt;='NonRes Compliance Calculator'!K103,"","Exceeds allowed mounting height,")</f>
        <v/>
      </c>
      <c r="K9" s="65"/>
      <c r="L9" s="66"/>
      <c r="M9" s="66"/>
      <c r="Q9" t="str">
        <f t="shared" si="0"/>
        <v>Pass</v>
      </c>
    </row>
    <row r="10" spans="1:17" x14ac:dyDescent="0.3">
      <c r="A10" s="10">
        <f>'NonRes Compliance Calculator'!D104</f>
        <v>0</v>
      </c>
      <c r="B10" s="56"/>
      <c r="C10" s="10">
        <f>'NonRes Compliance Calculator'!C104</f>
        <v>0</v>
      </c>
      <c r="D10" s="10" t="str" cm="1">
        <f t="array" ref="D10">_xlfn.IFNA(IF('NonRes Compliance Calculator'!D104='Non-res - Ordinance Values'!$B$20,"",(IF('NonRes Compliance Calculator'!F104&gt;VLOOKUP('NonRes Compliance Calculator'!D104,'Non-res - Ordinance Values'!$B$15:$F$21,_xlfn.IFS('NonRes Compliance Calculator'!$D$27="LZ1",3,'NonRes Compliance Calculator'!$D$27="LZ2",4),FALSE),"Lumens exceed limit,",""))),"")</f>
        <v/>
      </c>
      <c r="E10" s="56"/>
      <c r="F10" s="57" t="str">
        <f>IF('NonRes Compliance Calculator'!I104="","",IF('NonRes Compliance Calculator'!I104&gt;3000,"CCT too high,",""))</f>
        <v/>
      </c>
      <c r="G10" s="10" t="str">
        <f>IF('NonRes Compliance Calculator'!I104="","",IF('NonRes Compliance Calculator'!I104&lt;2700,"CCT too low,",""))</f>
        <v/>
      </c>
      <c r="H10" s="70"/>
      <c r="I10" s="56"/>
      <c r="J10" s="10" t="str">
        <f>IF('NonRes Compliance Calculator'!L104&lt;='NonRes Compliance Calculator'!K104,"","Exceeds allowed mounting height,")</f>
        <v/>
      </c>
      <c r="K10" s="65"/>
      <c r="L10" s="66"/>
      <c r="M10" s="66"/>
      <c r="Q10" t="str">
        <f t="shared" si="0"/>
        <v>Pass</v>
      </c>
    </row>
    <row r="11" spans="1:17" x14ac:dyDescent="0.3">
      <c r="A11" s="10">
        <f>'NonRes Compliance Calculator'!D105</f>
        <v>0</v>
      </c>
      <c r="B11" s="56"/>
      <c r="C11" s="10">
        <f>'NonRes Compliance Calculator'!C105</f>
        <v>0</v>
      </c>
      <c r="D11" s="10" t="str" cm="1">
        <f t="array" ref="D11">_xlfn.IFNA(IF('NonRes Compliance Calculator'!D105='Non-res - Ordinance Values'!$B$20,"",(IF('NonRes Compliance Calculator'!F105&gt;VLOOKUP('NonRes Compliance Calculator'!D105,'Non-res - Ordinance Values'!$B$15:$F$21,_xlfn.IFS('NonRes Compliance Calculator'!$D$27="LZ1",3,'NonRes Compliance Calculator'!$D$27="LZ2",4),FALSE),"Lumens exceed limit,",""))),"")</f>
        <v/>
      </c>
      <c r="E11" s="56"/>
      <c r="F11" s="57" t="str">
        <f>IF('NonRes Compliance Calculator'!I105="","",IF('NonRes Compliance Calculator'!I105&gt;3000,"CCT too high,",""))</f>
        <v/>
      </c>
      <c r="G11" s="10" t="str">
        <f>IF('NonRes Compliance Calculator'!I105="","",IF('NonRes Compliance Calculator'!I105&lt;2700,"CCT too low,",""))</f>
        <v/>
      </c>
      <c r="H11" s="70"/>
      <c r="I11" s="56"/>
      <c r="J11" s="10" t="str">
        <f>IF('NonRes Compliance Calculator'!L105&lt;='NonRes Compliance Calculator'!K105,"","Exceeds allowed mounting height,")</f>
        <v/>
      </c>
      <c r="K11" s="65"/>
      <c r="L11" s="66"/>
      <c r="M11" s="66"/>
      <c r="Q11" t="str">
        <f t="shared" si="0"/>
        <v>Pass</v>
      </c>
    </row>
    <row r="12" spans="1:17" x14ac:dyDescent="0.3">
      <c r="A12" s="10">
        <f>'NonRes Compliance Calculator'!D106</f>
        <v>0</v>
      </c>
      <c r="B12" s="56"/>
      <c r="C12" s="10">
        <f>'NonRes Compliance Calculator'!C106</f>
        <v>0</v>
      </c>
      <c r="D12" s="10" t="str" cm="1">
        <f t="array" ref="D12">_xlfn.IFNA(IF('NonRes Compliance Calculator'!D106='Non-res - Ordinance Values'!$B$20,"",(IF('NonRes Compliance Calculator'!F106&gt;VLOOKUP('NonRes Compliance Calculator'!D106,'Non-res - Ordinance Values'!$B$15:$F$21,_xlfn.IFS('NonRes Compliance Calculator'!$D$27="LZ1",3,'NonRes Compliance Calculator'!$D$27="LZ2",4),FALSE),"Lumens exceed limit,",""))),"")</f>
        <v/>
      </c>
      <c r="E12" s="56"/>
      <c r="F12" s="57" t="str">
        <f>IF('NonRes Compliance Calculator'!I106="","",IF('NonRes Compliance Calculator'!I106&gt;3000,"CCT too high,",""))</f>
        <v/>
      </c>
      <c r="G12" s="10" t="str">
        <f>IF('NonRes Compliance Calculator'!I106="","",IF('NonRes Compliance Calculator'!I106&lt;2700,"CCT too low,",""))</f>
        <v/>
      </c>
      <c r="H12" s="70"/>
      <c r="I12" s="56"/>
      <c r="J12" s="10" t="str">
        <f>IF('NonRes Compliance Calculator'!L106&lt;='NonRes Compliance Calculator'!K106,"","Exceeds allowed mounting height,")</f>
        <v/>
      </c>
      <c r="K12" s="65"/>
      <c r="L12" s="66"/>
      <c r="M12" s="66"/>
      <c r="Q12" t="str">
        <f t="shared" si="0"/>
        <v>Pass</v>
      </c>
    </row>
    <row r="13" spans="1:17" x14ac:dyDescent="0.3">
      <c r="A13" s="10">
        <f>'NonRes Compliance Calculator'!D107</f>
        <v>0</v>
      </c>
      <c r="B13" s="56"/>
      <c r="C13" s="10">
        <f>'NonRes Compliance Calculator'!C107</f>
        <v>0</v>
      </c>
      <c r="D13" s="10" t="str" cm="1">
        <f t="array" ref="D13">_xlfn.IFNA(IF('NonRes Compliance Calculator'!D107='Non-res - Ordinance Values'!$B$20,"",(IF('NonRes Compliance Calculator'!F107&gt;VLOOKUP('NonRes Compliance Calculator'!D107,'Non-res - Ordinance Values'!$B$15:$F$21,_xlfn.IFS('NonRes Compliance Calculator'!$D$27="LZ1",3,'NonRes Compliance Calculator'!$D$27="LZ2",4),FALSE),"Lumens exceed limit,",""))),"")</f>
        <v/>
      </c>
      <c r="E13" s="56"/>
      <c r="F13" s="57" t="str">
        <f>IF('NonRes Compliance Calculator'!I107="","",IF('NonRes Compliance Calculator'!I107&gt;3000,"CCT too high,",""))</f>
        <v/>
      </c>
      <c r="G13" s="10" t="str">
        <f>IF('NonRes Compliance Calculator'!I107="","",IF('NonRes Compliance Calculator'!I107&lt;2700,"CCT too low,",""))</f>
        <v/>
      </c>
      <c r="H13" s="70"/>
      <c r="I13" s="56"/>
      <c r="J13" s="10" t="str">
        <f>IF('NonRes Compliance Calculator'!L107&lt;='NonRes Compliance Calculator'!K107,"","Exceeds allowed mounting height,")</f>
        <v/>
      </c>
      <c r="K13" s="65"/>
      <c r="L13" s="66"/>
      <c r="M13" s="66"/>
      <c r="Q13" t="str">
        <f t="shared" si="0"/>
        <v>Pass</v>
      </c>
    </row>
    <row r="14" spans="1:17" x14ac:dyDescent="0.3">
      <c r="A14" s="10">
        <f>'NonRes Compliance Calculator'!D108</f>
        <v>0</v>
      </c>
      <c r="B14" s="56"/>
      <c r="C14" s="10">
        <f>'NonRes Compliance Calculator'!C108</f>
        <v>0</v>
      </c>
      <c r="D14" s="10" t="str" cm="1">
        <f t="array" ref="D14">_xlfn.IFNA(IF('NonRes Compliance Calculator'!D108='Non-res - Ordinance Values'!$B$20,"",(IF('NonRes Compliance Calculator'!F108&gt;VLOOKUP('NonRes Compliance Calculator'!D108,'Non-res - Ordinance Values'!$B$15:$F$21,_xlfn.IFS('NonRes Compliance Calculator'!$D$27="LZ1",3,'NonRes Compliance Calculator'!$D$27="LZ2",4),FALSE),"Lumens exceed limit,",""))),"")</f>
        <v/>
      </c>
      <c r="E14" s="56"/>
      <c r="F14" s="57" t="str">
        <f>IF('NonRes Compliance Calculator'!I108="","",IF('NonRes Compliance Calculator'!I108&gt;3000,"CCT too high,",""))</f>
        <v/>
      </c>
      <c r="G14" s="10" t="str">
        <f>IF('NonRes Compliance Calculator'!I108="","",IF('NonRes Compliance Calculator'!I108&lt;2700,"CCT too low,",""))</f>
        <v/>
      </c>
      <c r="H14" s="70"/>
      <c r="I14" s="56"/>
      <c r="J14" s="10" t="str">
        <f>IF('NonRes Compliance Calculator'!L108&lt;='NonRes Compliance Calculator'!K108,"","Exceeds allowed mounting height,")</f>
        <v/>
      </c>
      <c r="K14" s="65"/>
      <c r="L14" s="66"/>
      <c r="M14" s="66"/>
      <c r="Q14" t="str">
        <f t="shared" si="0"/>
        <v>Pass</v>
      </c>
    </row>
    <row r="15" spans="1:17" x14ac:dyDescent="0.3">
      <c r="A15" s="10">
        <f>'NonRes Compliance Calculator'!D109</f>
        <v>0</v>
      </c>
      <c r="B15" s="56"/>
      <c r="C15" s="10">
        <f>'NonRes Compliance Calculator'!C109</f>
        <v>0</v>
      </c>
      <c r="D15" s="10" t="str" cm="1">
        <f t="array" ref="D15">_xlfn.IFNA(IF('NonRes Compliance Calculator'!D109='Non-res - Ordinance Values'!$B$20,"",(IF('NonRes Compliance Calculator'!F109&gt;VLOOKUP('NonRes Compliance Calculator'!D109,'Non-res - Ordinance Values'!$B$15:$F$21,_xlfn.IFS('NonRes Compliance Calculator'!$D$27="LZ1",3,'NonRes Compliance Calculator'!$D$27="LZ2",4),FALSE),"Lumens exceed limit,",""))),"")</f>
        <v/>
      </c>
      <c r="E15" s="56"/>
      <c r="F15" s="57" t="str">
        <f>IF('NonRes Compliance Calculator'!I109="","",IF('NonRes Compliance Calculator'!I109&gt;3000,"CCT too high,",""))</f>
        <v/>
      </c>
      <c r="G15" s="10" t="str">
        <f>IF('NonRes Compliance Calculator'!I109="","",IF('NonRes Compliance Calculator'!I109&lt;2700,"CCT too low,",""))</f>
        <v/>
      </c>
      <c r="H15" s="70"/>
      <c r="I15" s="56"/>
      <c r="J15" s="10" t="str">
        <f>IF('NonRes Compliance Calculator'!L109&lt;='NonRes Compliance Calculator'!K109,"","Exceeds allowed mounting height,")</f>
        <v/>
      </c>
      <c r="K15" s="65"/>
      <c r="L15" s="66"/>
      <c r="M15" s="66"/>
      <c r="Q15" t="str">
        <f t="shared" si="0"/>
        <v>Pass</v>
      </c>
    </row>
    <row r="16" spans="1:17" x14ac:dyDescent="0.3">
      <c r="A16" s="10">
        <f>'NonRes Compliance Calculator'!D110</f>
        <v>0</v>
      </c>
      <c r="B16" s="56"/>
      <c r="C16" s="10">
        <f>'NonRes Compliance Calculator'!C110</f>
        <v>0</v>
      </c>
      <c r="D16" s="10" t="str" cm="1">
        <f t="array" ref="D16">_xlfn.IFNA(IF('NonRes Compliance Calculator'!D110='Non-res - Ordinance Values'!$B$20,"",(IF('NonRes Compliance Calculator'!F110&gt;VLOOKUP('NonRes Compliance Calculator'!D110,'Non-res - Ordinance Values'!$B$15:$F$21,_xlfn.IFS('NonRes Compliance Calculator'!$D$27="LZ1",3,'NonRes Compliance Calculator'!$D$27="LZ2",4),FALSE),"Lumens exceed limit,",""))),"")</f>
        <v/>
      </c>
      <c r="E16" s="56"/>
      <c r="F16" s="57" t="str">
        <f>IF('NonRes Compliance Calculator'!I110="","",IF('NonRes Compliance Calculator'!I110&gt;3000,"CCT too high,",""))</f>
        <v/>
      </c>
      <c r="G16" s="10" t="str">
        <f>IF('NonRes Compliance Calculator'!I110="","",IF('NonRes Compliance Calculator'!I110&lt;2700,"CCT too low,",""))</f>
        <v/>
      </c>
      <c r="H16" s="70"/>
      <c r="I16" s="56"/>
      <c r="J16" s="10" t="str">
        <f>IF('NonRes Compliance Calculator'!L110&lt;='NonRes Compliance Calculator'!K110,"","Exceeds allowed mounting height,")</f>
        <v/>
      </c>
      <c r="K16" s="65"/>
      <c r="L16" s="66"/>
      <c r="M16" s="66"/>
      <c r="Q16" t="str">
        <f t="shared" si="0"/>
        <v>Pass</v>
      </c>
    </row>
    <row r="17" spans="1:17" x14ac:dyDescent="0.3">
      <c r="A17" s="10">
        <f>'NonRes Compliance Calculator'!D111</f>
        <v>0</v>
      </c>
      <c r="B17" s="56"/>
      <c r="C17" s="10">
        <f>'NonRes Compliance Calculator'!C111</f>
        <v>0</v>
      </c>
      <c r="D17" s="10" t="str" cm="1">
        <f t="array" ref="D17">_xlfn.IFNA(IF('NonRes Compliance Calculator'!D111='Non-res - Ordinance Values'!$B$20,"",(IF('NonRes Compliance Calculator'!F111&gt;VLOOKUP('NonRes Compliance Calculator'!D111,'Non-res - Ordinance Values'!$B$15:$F$21,_xlfn.IFS('NonRes Compliance Calculator'!$D$27="LZ1",3,'NonRes Compliance Calculator'!$D$27="LZ2",4),FALSE),"Lumens exceed limit,",""))),"")</f>
        <v/>
      </c>
      <c r="E17" s="56"/>
      <c r="F17" s="57" t="str">
        <f>IF('NonRes Compliance Calculator'!I111="","",IF('NonRes Compliance Calculator'!I111&gt;3000,"CCT too high,",""))</f>
        <v/>
      </c>
      <c r="G17" s="10" t="str">
        <f>IF('NonRes Compliance Calculator'!I111="","",IF('NonRes Compliance Calculator'!I111&lt;2700,"CCT too low,",""))</f>
        <v/>
      </c>
      <c r="H17" s="70"/>
      <c r="I17" s="56"/>
      <c r="J17" s="10" t="str">
        <f>IF('NonRes Compliance Calculator'!L111&lt;='NonRes Compliance Calculator'!K111,"","Exceeds allowed mounting height,")</f>
        <v/>
      </c>
      <c r="K17" s="65"/>
      <c r="L17" s="66"/>
      <c r="M17" s="66"/>
      <c r="Q17" t="str">
        <f t="shared" si="0"/>
        <v>Pass</v>
      </c>
    </row>
    <row r="18" spans="1:17" x14ac:dyDescent="0.3">
      <c r="A18" s="10">
        <f>'NonRes Compliance Calculator'!D112</f>
        <v>0</v>
      </c>
      <c r="B18" s="56"/>
      <c r="C18" s="10">
        <f>'NonRes Compliance Calculator'!C112</f>
        <v>0</v>
      </c>
      <c r="D18" s="10" t="str" cm="1">
        <f t="array" ref="D18">_xlfn.IFNA(IF('NonRes Compliance Calculator'!D112='Non-res - Ordinance Values'!$B$20,"",(IF('NonRes Compliance Calculator'!E112&gt;VLOOKUP('NonRes Compliance Calculator'!D112,'Non-res - Ordinance Values'!$B$15:$F$21,_xlfn.IFS('NonRes Compliance Calculator'!$D$27="LZ1",3,'NonRes Compliance Calculator'!$D$27="LZ2",4),FALSE),"Lumens exceed limit,",""))),"")</f>
        <v/>
      </c>
      <c r="E18" s="56"/>
      <c r="F18" s="57" t="str">
        <f>IF('NonRes Compliance Calculator'!H112="","",IF('NonRes Compliance Calculator'!H112&gt;3000,"CCT too high,",""))</f>
        <v/>
      </c>
      <c r="G18" s="10" t="str">
        <f>IF('NonRes Compliance Calculator'!H112="","",IF('NonRes Compliance Calculator'!H112&lt;2700,"CCT too low,",""))</f>
        <v/>
      </c>
      <c r="H18" s="70"/>
      <c r="I18" s="56"/>
      <c r="J18" s="10" t="str">
        <f>IF('NonRes Compliance Calculator'!K112&lt;='NonRes Compliance Calculator'!J112,"","Exceeds allowed mounting height,")</f>
        <v/>
      </c>
      <c r="K18" s="65"/>
      <c r="L18" s="66"/>
      <c r="M18" s="66"/>
      <c r="Q18" t="str">
        <f t="shared" si="0"/>
        <v>Pass</v>
      </c>
    </row>
    <row r="19" spans="1:17" x14ac:dyDescent="0.3">
      <c r="A19" s="10">
        <f>'NonRes Compliance Calculator'!D113</f>
        <v>0</v>
      </c>
      <c r="B19" s="56"/>
      <c r="C19" s="10">
        <f>'NonRes Compliance Calculator'!C113</f>
        <v>0</v>
      </c>
      <c r="D19" s="10" t="str" cm="1">
        <f t="array" ref="D19">_xlfn.IFNA(IF('NonRes Compliance Calculator'!D113='Non-res - Ordinance Values'!$B$20,"",(IF('NonRes Compliance Calculator'!E113&gt;VLOOKUP('NonRes Compliance Calculator'!D113,'Non-res - Ordinance Values'!$B$15:$F$21,_xlfn.IFS('NonRes Compliance Calculator'!$D$27="LZ1",3,'NonRes Compliance Calculator'!$D$27="LZ2",4),FALSE),"Lumens exceed limit,",""))),"")</f>
        <v/>
      </c>
      <c r="E19" s="56"/>
      <c r="F19" s="57" t="str">
        <f>IF('NonRes Compliance Calculator'!H113="","",IF('NonRes Compliance Calculator'!H113&gt;3000,"CCT too high,",""))</f>
        <v/>
      </c>
      <c r="G19" s="10" t="str">
        <f>IF('NonRes Compliance Calculator'!H113="","",IF('NonRes Compliance Calculator'!H113&lt;2700,"CCT too low,",""))</f>
        <v/>
      </c>
      <c r="H19" s="70"/>
      <c r="I19" s="56"/>
      <c r="J19" s="10" t="str">
        <f>IF('NonRes Compliance Calculator'!K113&lt;='NonRes Compliance Calculator'!J113,"","Exceeds allowed mounting height,")</f>
        <v/>
      </c>
      <c r="K19" s="65"/>
      <c r="L19" s="66"/>
      <c r="M19" s="66"/>
      <c r="Q19" t="str">
        <f t="shared" si="0"/>
        <v>Pass</v>
      </c>
    </row>
    <row r="20" spans="1:17" x14ac:dyDescent="0.3">
      <c r="A20" s="10" t="str">
        <f>'NonRes Compliance Calculator'!D114</f>
        <v>Existing Parcel Analysis</v>
      </c>
      <c r="B20" s="56"/>
      <c r="C20" s="10" t="str">
        <f>'NonRes Compliance Calculator'!C114</f>
        <v>Description</v>
      </c>
      <c r="D20" s="10" t="str" cm="1">
        <f t="array" ref="D20">_xlfn.IFNA(IF('NonRes Compliance Calculator'!D114='Non-res - Ordinance Values'!$B$20,"",(IF('NonRes Compliance Calculator'!E114&gt;VLOOKUP('NonRes Compliance Calculator'!D114,'Non-res - Ordinance Values'!$B$15:$F$21,_xlfn.IFS('NonRes Compliance Calculator'!$D$27="LZ1",3,'NonRes Compliance Calculator'!$D$27="LZ2",4),FALSE),"Lumens exceed limit,",""))),"")</f>
        <v/>
      </c>
      <c r="E20" s="56"/>
      <c r="F20" s="57" t="str">
        <f>IF('NonRes Compliance Calculator'!J114="","",IF('NonRes Compliance Calculator'!J114&gt;3000,"CCT too high,",""))</f>
        <v/>
      </c>
      <c r="G20" s="10" t="str">
        <f>IF('NonRes Compliance Calculator'!J114="","",IF('NonRes Compliance Calculator'!J114&lt;2700,"CCT too low,",""))</f>
        <v/>
      </c>
      <c r="H20" s="70"/>
      <c r="I20" s="56"/>
      <c r="J20" s="10" t="str">
        <f>IF('NonRes Compliance Calculator'!M114&lt;='NonRes Compliance Calculator'!L114,"","Exceeds allowed mounting height,")</f>
        <v/>
      </c>
      <c r="K20" s="65"/>
      <c r="L20" s="66"/>
      <c r="M20" s="66"/>
      <c r="Q20" t="str">
        <f t="shared" si="0"/>
        <v>Pass</v>
      </c>
    </row>
    <row r="21" spans="1:17" x14ac:dyDescent="0.3">
      <c r="A21" s="10" t="e">
        <f>'NonRes Compliance Calculator'!#REF!</f>
        <v>#REF!</v>
      </c>
      <c r="B21" s="56"/>
      <c r="C21" s="10" t="e">
        <f>'NonRes Compliance Calculator'!#REF!</f>
        <v>#REF!</v>
      </c>
      <c r="D21" s="10" t="e" cm="1">
        <f t="array" ref="D21">_xlfn.IFNA(IF('NonRes Compliance Calculator'!#REF!='Non-res - Ordinance Values'!$B$20,"",(IF('NonRes Compliance Calculator'!#REF!&gt;VLOOKUP('NonRes Compliance Calculator'!#REF!,'Non-res - Ordinance Values'!$B$15:$F$21,_xlfn.IFS('NonRes Compliance Calculator'!$D$27="LZ1",3,'NonRes Compliance Calculator'!$D$27="LZ2",4),FALSE),"Lumens exceed limit,",""))),"")</f>
        <v>#REF!</v>
      </c>
      <c r="E21" s="56"/>
      <c r="F21" s="57" t="e">
        <f>IF('NonRes Compliance Calculator'!#REF!="","",IF('NonRes Compliance Calculator'!#REF!&gt;3000,"CCT too high,",""))</f>
        <v>#REF!</v>
      </c>
      <c r="G21" s="10" t="e">
        <f>IF('NonRes Compliance Calculator'!#REF!="","",IF('NonRes Compliance Calculator'!#REF!&lt;2700,"CCT too low,",""))</f>
        <v>#REF!</v>
      </c>
      <c r="H21" s="70"/>
      <c r="I21" s="56"/>
      <c r="J21" s="10" t="e">
        <f>IF('NonRes Compliance Calculator'!#REF!&lt;='NonRes Compliance Calculator'!#REF!,"","Exceeds allowed mounting height,")</f>
        <v>#REF!</v>
      </c>
      <c r="K21" s="65"/>
      <c r="L21" s="66"/>
      <c r="M21" s="66"/>
      <c r="Q21" t="str">
        <f t="shared" si="0"/>
        <v>Pass</v>
      </c>
    </row>
    <row r="22" spans="1:17" x14ac:dyDescent="0.3">
      <c r="A22" s="10" t="e">
        <f>'NonRes Compliance Calculator'!#REF!</f>
        <v>#REF!</v>
      </c>
      <c r="B22" s="56"/>
      <c r="C22" s="10" t="e">
        <f>'NonRes Compliance Calculator'!#REF!</f>
        <v>#REF!</v>
      </c>
      <c r="D22" s="10" t="e" cm="1">
        <f t="array" ref="D22">_xlfn.IFNA(IF('NonRes Compliance Calculator'!#REF!='Non-res - Ordinance Values'!$B$20,"",(IF('NonRes Compliance Calculator'!#REF!&gt;VLOOKUP('NonRes Compliance Calculator'!#REF!,'Non-res - Ordinance Values'!$B$15:$F$21,_xlfn.IFS('NonRes Compliance Calculator'!$D$27="LZ1",3,'NonRes Compliance Calculator'!$D$27="LZ2",4),FALSE),"Lumens exceed limit,",""))),"")</f>
        <v>#REF!</v>
      </c>
      <c r="E22" s="56"/>
      <c r="F22" s="57" t="e">
        <f>IF('NonRes Compliance Calculator'!#REF!="","",IF('NonRes Compliance Calculator'!#REF!&gt;3000,"CCT too high,",""))</f>
        <v>#REF!</v>
      </c>
      <c r="G22" s="10" t="e">
        <f>IF('NonRes Compliance Calculator'!#REF!="","",IF('NonRes Compliance Calculator'!#REF!&lt;2700,"CCT too low,",""))</f>
        <v>#REF!</v>
      </c>
      <c r="H22" s="70"/>
      <c r="I22" s="56"/>
      <c r="J22" s="10" t="e">
        <f>IF('NonRes Compliance Calculator'!#REF!&lt;='NonRes Compliance Calculator'!#REF!,"","Exceeds allowed mounting height,")</f>
        <v>#REF!</v>
      </c>
      <c r="K22" s="65"/>
      <c r="L22" s="66"/>
      <c r="M22" s="66"/>
      <c r="Q22" t="str">
        <f t="shared" si="0"/>
        <v>Pass</v>
      </c>
    </row>
    <row r="23" spans="1:17" x14ac:dyDescent="0.3">
      <c r="A23" s="10">
        <f>'NonRes Compliance Calculator'!D115</f>
        <v>0</v>
      </c>
      <c r="B23" s="56"/>
      <c r="C23" s="10" t="str">
        <f>'NonRes Compliance Calculator'!C115</f>
        <v>Total existing unshielded or partially shielded lumens</v>
      </c>
      <c r="D23" s="10" t="str" cm="1">
        <f t="array" ref="D23">_xlfn.IFNA(IF('NonRes Compliance Calculator'!D115='Non-res - Ordinance Values'!$B$20,"",(IF('NonRes Compliance Calculator'!E115&gt;VLOOKUP('NonRes Compliance Calculator'!D115,'Non-res - Ordinance Values'!$B$15:$F$21,_xlfn.IFS('NonRes Compliance Calculator'!$D$27="LZ1",3,'NonRes Compliance Calculator'!$D$27="LZ2",4),FALSE),"Lumens exceed limit,",""))),"")</f>
        <v/>
      </c>
      <c r="E23" s="56"/>
      <c r="F23" s="57" t="str">
        <f>IF('NonRes Compliance Calculator'!J115="","",IF('NonRes Compliance Calculator'!J115&gt;3000,"CCT too high,",""))</f>
        <v/>
      </c>
      <c r="G23" s="10" t="str">
        <f>IF('NonRes Compliance Calculator'!J115="","",IF('NonRes Compliance Calculator'!J115&lt;2700,"CCT too low,",""))</f>
        <v/>
      </c>
      <c r="H23" s="70"/>
      <c r="I23" s="56"/>
      <c r="J23" s="10" t="str">
        <f>IF('NonRes Compliance Calculator'!M115&lt;='NonRes Compliance Calculator'!L115,"","Exceeds allowed mounting height,")</f>
        <v/>
      </c>
      <c r="K23" s="65"/>
      <c r="L23" s="66"/>
      <c r="M23" s="66"/>
      <c r="Q23" t="str">
        <f t="shared" si="0"/>
        <v>Pass</v>
      </c>
    </row>
    <row r="24" spans="1:17" x14ac:dyDescent="0.3">
      <c r="A24" s="10">
        <f>'NonRes Compliance Calculator'!D116</f>
        <v>0</v>
      </c>
      <c r="B24" s="56"/>
      <c r="C24" s="10" t="str">
        <f>'NonRes Compliance Calculator'!C116</f>
        <v>Existing percentage unshielded/partially shielded lumens of total lumen allowance</v>
      </c>
      <c r="D24" s="10" t="str" cm="1">
        <f t="array" ref="D24">_xlfn.IFNA(IF('NonRes Compliance Calculator'!D116='Non-res - Ordinance Values'!$B$20,"",(IF('NonRes Compliance Calculator'!E116&gt;VLOOKUP('NonRes Compliance Calculator'!D116,'Non-res - Ordinance Values'!$B$15:$F$21,_xlfn.IFS('NonRes Compliance Calculator'!$D$27="LZ1",3,'NonRes Compliance Calculator'!$D$27="LZ2",4),FALSE),"Lumens exceed limit,",""))),"")</f>
        <v/>
      </c>
      <c r="E24" s="56"/>
      <c r="F24" s="57" t="str">
        <f>IF('NonRes Compliance Calculator'!J116="","",IF('NonRes Compliance Calculator'!J116&gt;3000,"CCT too high,",""))</f>
        <v/>
      </c>
      <c r="G24" s="10" t="str">
        <f>IF('NonRes Compliance Calculator'!J116="","",IF('NonRes Compliance Calculator'!J116&lt;2700,"CCT too low,",""))</f>
        <v/>
      </c>
      <c r="H24" s="70"/>
      <c r="I24" s="56"/>
      <c r="J24" s="10" t="str">
        <f>IF('NonRes Compliance Calculator'!M116&lt;='NonRes Compliance Calculator'!L116,"","Exceeds allowed mounting height,")</f>
        <v/>
      </c>
      <c r="K24" s="65"/>
      <c r="L24" s="66"/>
      <c r="M24" s="66"/>
      <c r="Q24" t="str">
        <f t="shared" si="0"/>
        <v>Pass</v>
      </c>
    </row>
    <row r="25" spans="1:17" x14ac:dyDescent="0.3">
      <c r="A25" s="10">
        <f>'NonRes Compliance Calculator'!D118</f>
        <v>0</v>
      </c>
      <c r="B25" s="56"/>
      <c r="C25" s="10">
        <f>'NonRes Compliance Calculator'!C118</f>
        <v>0</v>
      </c>
      <c r="D25" s="10" t="str" cm="1">
        <f t="array" ref="D25">_xlfn.IFNA(IF('NonRes Compliance Calculator'!D118='Non-res - Ordinance Values'!$B$20,"",(IF('NonRes Compliance Calculator'!E118&gt;VLOOKUP('NonRes Compliance Calculator'!D118,'Non-res - Ordinance Values'!$B$15:$F$21,_xlfn.IFS('NonRes Compliance Calculator'!$D$27="LZ1",3,'NonRes Compliance Calculator'!$D$27="LZ2",4),FALSE),"Lumens exceed limit,",""))),"")</f>
        <v/>
      </c>
      <c r="E25" s="56"/>
      <c r="F25" s="57" t="str">
        <f>IF('NonRes Compliance Calculator'!H118="","",IF('NonRes Compliance Calculator'!H118&gt;3000,"CCT too high,",""))</f>
        <v/>
      </c>
      <c r="G25" s="10" t="str">
        <f>IF('NonRes Compliance Calculator'!H118="","",IF('NonRes Compliance Calculator'!H118&lt;2700,"CCT too low,",""))</f>
        <v/>
      </c>
      <c r="H25" s="70"/>
      <c r="I25" s="56"/>
      <c r="J25" s="10" t="str">
        <f>IF('NonRes Compliance Calculator'!K118&lt;='NonRes Compliance Calculator'!J118,"","Exceeds allowed mounting height,")</f>
        <v/>
      </c>
      <c r="K25" s="65"/>
      <c r="L25" s="66"/>
      <c r="M25" s="66"/>
      <c r="Q25" t="str">
        <f t="shared" si="0"/>
        <v>Pass</v>
      </c>
    </row>
    <row r="26" spans="1:17" x14ac:dyDescent="0.3">
      <c r="A26" s="10">
        <f>'NonRes Compliance Calculator'!D119</f>
        <v>0</v>
      </c>
      <c r="B26" s="56"/>
      <c r="C26" s="10">
        <f>'NonRes Compliance Calculator'!C119</f>
        <v>0</v>
      </c>
      <c r="D26" s="10" t="str" cm="1">
        <f t="array" ref="D26">_xlfn.IFNA(IF('NonRes Compliance Calculator'!D119='Non-res - Ordinance Values'!$B$20,"",(IF('NonRes Compliance Calculator'!E119&gt;VLOOKUP('NonRes Compliance Calculator'!D119,'Non-res - Ordinance Values'!$B$15:$F$21,_xlfn.IFS('NonRes Compliance Calculator'!$D$27="LZ1",3,'NonRes Compliance Calculator'!$D$27="LZ2",4),FALSE),"Lumens exceed limit,",""))),"")</f>
        <v/>
      </c>
      <c r="E26" s="56"/>
      <c r="F26" s="57" t="str">
        <f>IF('NonRes Compliance Calculator'!H119="","",IF('NonRes Compliance Calculator'!H119&gt;3000,"CCT too high,",""))</f>
        <v/>
      </c>
      <c r="G26" s="10" t="str">
        <f>IF('NonRes Compliance Calculator'!H119="","",IF('NonRes Compliance Calculator'!H119&lt;2700,"CCT too low,",""))</f>
        <v/>
      </c>
      <c r="H26" s="70"/>
      <c r="I26" s="56"/>
      <c r="J26" s="10" t="str">
        <f>IF('NonRes Compliance Calculator'!K119&lt;='NonRes Compliance Calculator'!J119,"","Exceeds allowed mounting height,")</f>
        <v/>
      </c>
      <c r="K26" s="65"/>
      <c r="L26" s="66"/>
      <c r="M26" s="66"/>
      <c r="Q26" t="str">
        <f t="shared" si="0"/>
        <v>Pass</v>
      </c>
    </row>
    <row r="27" spans="1:17" x14ac:dyDescent="0.3">
      <c r="A27" s="10">
        <f>'NonRes Compliance Calculator'!D120</f>
        <v>0</v>
      </c>
      <c r="B27" s="56"/>
      <c r="C27" s="10" t="str">
        <f>'NonRes Compliance Calculator'!C120</f>
        <v>The parcel must be under the lumen allowance for every application type.</v>
      </c>
      <c r="D27" s="10" t="str" cm="1">
        <f t="array" ref="D27">_xlfn.IFNA(IF('NonRes Compliance Calculator'!D120='Non-res - Ordinance Values'!$B$20,"",(IF('NonRes Compliance Calculator'!E120&gt;VLOOKUP('NonRes Compliance Calculator'!D120,'Non-res - Ordinance Values'!$B$15:$F$21,_xlfn.IFS('NonRes Compliance Calculator'!$D$27="LZ1",3,'NonRes Compliance Calculator'!$D$27="LZ2",4),FALSE),"Lumens exceed limit,",""))),"")</f>
        <v/>
      </c>
      <c r="E27" s="56"/>
      <c r="F27" s="57" t="str">
        <f>IF('NonRes Compliance Calculator'!H120="","",IF('NonRes Compliance Calculator'!H120&gt;3000,"CCT too high,",""))</f>
        <v/>
      </c>
      <c r="G27" s="10" t="str">
        <f>IF('NonRes Compliance Calculator'!H120="","",IF('NonRes Compliance Calculator'!H120&lt;2700,"CCT too low,",""))</f>
        <v/>
      </c>
      <c r="H27" s="70"/>
      <c r="I27" s="56"/>
      <c r="J27" s="10" t="str">
        <f>IF('NonRes Compliance Calculator'!K120&lt;='NonRes Compliance Calculator'!J120,"","Exceeds allowed mounting height,")</f>
        <v/>
      </c>
      <c r="K27" s="65"/>
      <c r="L27" s="66"/>
      <c r="M27" s="66"/>
      <c r="Q27" t="str">
        <f t="shared" si="0"/>
        <v>Pass</v>
      </c>
    </row>
    <row r="28" spans="1:17" x14ac:dyDescent="0.3">
      <c r="A28" s="10" t="str">
        <f>'NonRes Compliance Calculator'!D121</f>
        <v>Total Existing Lumens</v>
      </c>
      <c r="B28" s="56"/>
      <c r="C28" s="10" t="str">
        <f>'NonRes Compliance Calculator'!C121</f>
        <v>Application</v>
      </c>
      <c r="D28" s="10" t="str" cm="1">
        <f t="array" ref="D28">_xlfn.IFNA(IF('NonRes Compliance Calculator'!D121='Non-res - Ordinance Values'!$B$20,"",(IF('NonRes Compliance Calculator'!E121&gt;VLOOKUP('NonRes Compliance Calculator'!D121,'Non-res - Ordinance Values'!$B$15:$F$21,_xlfn.IFS('NonRes Compliance Calculator'!$D$27="LZ1",3,'NonRes Compliance Calculator'!$D$27="LZ2",4),FALSE),"Lumens exceed limit,",""))),"")</f>
        <v/>
      </c>
      <c r="E28" s="56"/>
      <c r="F28" s="57" t="str">
        <f>IF('NonRes Compliance Calculator'!H121="","",IF('NonRes Compliance Calculator'!H121&gt;3000,"CCT too high,",""))</f>
        <v/>
      </c>
      <c r="G28" s="10" t="str">
        <f>IF('NonRes Compliance Calculator'!H121="","",IF('NonRes Compliance Calculator'!H121&lt;2700,"CCT too low,",""))</f>
        <v/>
      </c>
      <c r="H28" s="70"/>
      <c r="I28" s="56"/>
      <c r="J28" s="10" t="str">
        <f>IF('NonRes Compliance Calculator'!K121&lt;='NonRes Compliance Calculator'!J121,"","Exceeds allowed mounting height,")</f>
        <v/>
      </c>
      <c r="K28" s="65"/>
      <c r="L28" s="66"/>
      <c r="M28" s="66"/>
      <c r="Q28" t="str">
        <f t="shared" si="0"/>
        <v>Pass</v>
      </c>
    </row>
    <row r="29" spans="1:17" x14ac:dyDescent="0.3">
      <c r="A29" s="10">
        <f>'NonRes Compliance Calculator'!D122</f>
        <v>0</v>
      </c>
      <c r="B29" s="56"/>
      <c r="C29" s="10" t="str">
        <f>'NonRes Compliance Calculator'!C122</f>
        <v>Building Entrance(s)</v>
      </c>
      <c r="D29" s="10" t="str" cm="1">
        <f t="array" ref="D29">_xlfn.IFNA(IF('NonRes Compliance Calculator'!D122='Non-res - Ordinance Values'!$B$20,"",(IF('NonRes Compliance Calculator'!E122&gt;VLOOKUP('NonRes Compliance Calculator'!D122,'Non-res - Ordinance Values'!$B$15:$F$21,_xlfn.IFS('NonRes Compliance Calculator'!$D$27="LZ1",3,'NonRes Compliance Calculator'!$D$27="LZ2",4),FALSE),"Lumens exceed limit,",""))),"")</f>
        <v/>
      </c>
      <c r="E29" s="56"/>
      <c r="F29" s="57" t="str">
        <f>IF('NonRes Compliance Calculator'!H122="","",IF('NonRes Compliance Calculator'!H122&gt;3000,"CCT too high,",""))</f>
        <v/>
      </c>
      <c r="G29" s="10" t="str">
        <f>IF('NonRes Compliance Calculator'!H122="","",IF('NonRes Compliance Calculator'!H122&lt;2700,"CCT too low,",""))</f>
        <v/>
      </c>
      <c r="H29" s="70"/>
      <c r="I29" s="56"/>
      <c r="J29" s="10" t="str">
        <f>IF('NonRes Compliance Calculator'!K122&lt;='NonRes Compliance Calculator'!J122,"","Exceeds allowed mounting height,")</f>
        <v/>
      </c>
      <c r="K29" s="65"/>
      <c r="L29" s="66"/>
      <c r="M29" s="66"/>
      <c r="Q29" t="str">
        <f t="shared" si="0"/>
        <v>Pass</v>
      </c>
    </row>
    <row r="30" spans="1:17" x14ac:dyDescent="0.3">
      <c r="A30" s="10">
        <f>'NonRes Compliance Calculator'!D123</f>
        <v>0</v>
      </c>
      <c r="B30" s="56"/>
      <c r="C30" s="10" t="str">
        <f>'NonRes Compliance Calculator'!C123</f>
        <v>Building Facade</v>
      </c>
      <c r="D30" s="10" t="str" cm="1">
        <f t="array" ref="D30">_xlfn.IFNA(IF('NonRes Compliance Calculator'!D123='Non-res - Ordinance Values'!$B$20,"",(IF('NonRes Compliance Calculator'!E123&gt;VLOOKUP('NonRes Compliance Calculator'!D123,'Non-res - Ordinance Values'!$B$15:$F$21,_xlfn.IFS('NonRes Compliance Calculator'!$D$27="LZ1",3,'NonRes Compliance Calculator'!$D$27="LZ2",4),FALSE),"Lumens exceed limit,",""))),"")</f>
        <v/>
      </c>
      <c r="E30" s="56"/>
      <c r="F30" s="57" t="str">
        <f>IF('NonRes Compliance Calculator'!H123="","",IF('NonRes Compliance Calculator'!H123&gt;3000,"CCT too high,",""))</f>
        <v/>
      </c>
      <c r="G30" s="10" t="str">
        <f>IF('NonRes Compliance Calculator'!H123="","",IF('NonRes Compliance Calculator'!H123&lt;2700,"CCT too low,",""))</f>
        <v/>
      </c>
      <c r="H30" s="70"/>
      <c r="I30" s="56"/>
      <c r="J30" s="10" t="str">
        <f>IF('NonRes Compliance Calculator'!K123&lt;='NonRes Compliance Calculator'!J123,"","Exceeds allowed mounting height,")</f>
        <v/>
      </c>
      <c r="K30" s="65"/>
      <c r="L30" s="66"/>
      <c r="M30" s="66"/>
      <c r="Q30" t="str">
        <f t="shared" si="0"/>
        <v>Pass</v>
      </c>
    </row>
    <row r="31" spans="1:17" x14ac:dyDescent="0.3">
      <c r="A31" s="10">
        <f>'NonRes Compliance Calculator'!D124</f>
        <v>0</v>
      </c>
      <c r="B31" s="56"/>
      <c r="C31" s="10" t="str">
        <f>'NonRes Compliance Calculator'!C124</f>
        <v>Nighttime Service Loading</v>
      </c>
      <c r="D31" s="10" t="str" cm="1">
        <f t="array" ref="D31">_xlfn.IFNA(IF('NonRes Compliance Calculator'!D124='Non-res - Ordinance Values'!$B$20,"",(IF('NonRes Compliance Calculator'!E124&gt;VLOOKUP('NonRes Compliance Calculator'!D124,'Non-res - Ordinance Values'!$B$15:$F$21,_xlfn.IFS('NonRes Compliance Calculator'!$D$27="LZ1",3,'NonRes Compliance Calculator'!$D$27="LZ2",4),FALSE),"Lumens exceed limit,",""))),"")</f>
        <v/>
      </c>
      <c r="E31" s="56"/>
      <c r="F31" s="57" t="str">
        <f>IF('NonRes Compliance Calculator'!H124="","",IF('NonRes Compliance Calculator'!H124&gt;3000,"CCT too high,",""))</f>
        <v/>
      </c>
      <c r="G31" s="10" t="str">
        <f>IF('NonRes Compliance Calculator'!H124="","",IF('NonRes Compliance Calculator'!H124&lt;2700,"CCT too low,",""))</f>
        <v/>
      </c>
      <c r="H31" s="70"/>
      <c r="I31" s="56"/>
      <c r="J31" s="10" t="str">
        <f>IF('NonRes Compliance Calculator'!K124&lt;='NonRes Compliance Calculator'!J124,"","Exceeds allowed mounting height,")</f>
        <v/>
      </c>
      <c r="K31" s="65"/>
      <c r="L31" s="66"/>
      <c r="M31" s="66"/>
      <c r="Q31" t="str">
        <f t="shared" si="0"/>
        <v>Pass</v>
      </c>
    </row>
    <row r="32" spans="1:17" x14ac:dyDescent="0.3">
      <c r="A32" s="10">
        <f>'NonRes Compliance Calculator'!D125</f>
        <v>0</v>
      </c>
      <c r="B32" s="56"/>
      <c r="C32" s="10" t="str">
        <f>'NonRes Compliance Calculator'!C125</f>
        <v>Surface parking</v>
      </c>
      <c r="D32" s="10" t="str" cm="1">
        <f t="array" ref="D32">_xlfn.IFNA(IF('NonRes Compliance Calculator'!D125='Non-res - Ordinance Values'!$B$20,"",(IF('NonRes Compliance Calculator'!E125&gt;VLOOKUP('NonRes Compliance Calculator'!D125,'Non-res - Ordinance Values'!$B$15:$F$21,_xlfn.IFS('NonRes Compliance Calculator'!$D$27="LZ1",3,'NonRes Compliance Calculator'!$D$27="LZ2",4),FALSE),"Lumens exceed limit,",""))),"")</f>
        <v/>
      </c>
      <c r="E32" s="56"/>
      <c r="F32" s="57" t="str">
        <f>IF('NonRes Compliance Calculator'!H125="","",IF('NonRes Compliance Calculator'!H125&gt;3000,"CCT too high,",""))</f>
        <v/>
      </c>
      <c r="G32" s="10" t="str">
        <f>IF('NonRes Compliance Calculator'!H125="","",IF('NonRes Compliance Calculator'!H125&lt;2700,"CCT too low,",""))</f>
        <v/>
      </c>
      <c r="H32" s="70"/>
      <c r="I32" s="56"/>
      <c r="J32" s="10" t="str">
        <f>IF('NonRes Compliance Calculator'!K125&lt;='NonRes Compliance Calculator'!J125,"","Exceeds allowed mounting height,")</f>
        <v/>
      </c>
      <c r="K32" s="65"/>
      <c r="L32" s="66"/>
      <c r="M32" s="66"/>
      <c r="Q32" t="str">
        <f t="shared" si="0"/>
        <v>Pass</v>
      </c>
    </row>
    <row r="33" spans="1:17" x14ac:dyDescent="0.3">
      <c r="A33" s="10">
        <f>'NonRes Compliance Calculator'!D126</f>
        <v>0</v>
      </c>
      <c r="B33" s="56"/>
      <c r="C33" s="10" t="str">
        <f>'NonRes Compliance Calculator'!C126</f>
        <v>Gas Station Canopy</v>
      </c>
      <c r="D33" s="10" t="str" cm="1">
        <f t="array" ref="D33">_xlfn.IFNA(IF('NonRes Compliance Calculator'!D126='Non-res - Ordinance Values'!$B$20,"",(IF('NonRes Compliance Calculator'!E126&gt;VLOOKUP('NonRes Compliance Calculator'!D126,'Non-res - Ordinance Values'!$B$15:$F$21,_xlfn.IFS('NonRes Compliance Calculator'!$D$27="LZ1",3,'NonRes Compliance Calculator'!$D$27="LZ2",4),FALSE),"Lumens exceed limit,",""))),"")</f>
        <v/>
      </c>
      <c r="E33" s="56"/>
      <c r="F33" s="57" t="str">
        <f>IF('NonRes Compliance Calculator'!H126="","",IF('NonRes Compliance Calculator'!H126&gt;3000,"CCT too high,",""))</f>
        <v/>
      </c>
      <c r="G33" s="10" t="str">
        <f>IF('NonRes Compliance Calculator'!H126="","",IF('NonRes Compliance Calculator'!H126&lt;2700,"CCT too low,",""))</f>
        <v/>
      </c>
      <c r="H33" s="70"/>
      <c r="I33" s="56"/>
      <c r="J33" s="10" t="str">
        <f>IF('NonRes Compliance Calculator'!K126&lt;='NonRes Compliance Calculator'!J126,"","Exceeds allowed mounting height,")</f>
        <v/>
      </c>
      <c r="K33" s="65"/>
      <c r="L33" s="66"/>
      <c r="M33" s="66"/>
      <c r="Q33" t="str">
        <f t="shared" si="0"/>
        <v>Pass</v>
      </c>
    </row>
    <row r="34" spans="1:17" x14ac:dyDescent="0.3">
      <c r="A34" s="10">
        <f>'NonRes Compliance Calculator'!D127</f>
        <v>0</v>
      </c>
      <c r="B34" s="56"/>
      <c r="C34" s="10" t="str">
        <f>'NonRes Compliance Calculator'!C127</f>
        <v>Outdoor Dining</v>
      </c>
      <c r="D34" s="10" t="str" cm="1">
        <f t="array" ref="D34">_xlfn.IFNA(IF('NonRes Compliance Calculator'!D127='Non-res - Ordinance Values'!$B$20,"",(IF('NonRes Compliance Calculator'!E127&gt;VLOOKUP('NonRes Compliance Calculator'!D127,'Non-res - Ordinance Values'!$B$15:$F$21,_xlfn.IFS('NonRes Compliance Calculator'!$D$27="LZ1",3,'NonRes Compliance Calculator'!$D$27="LZ2",4),FALSE),"Lumens exceed limit,",""))),"")</f>
        <v/>
      </c>
      <c r="E34" s="56"/>
      <c r="F34" s="57" t="str">
        <f>IF('NonRes Compliance Calculator'!H127="","",IF('NonRes Compliance Calculator'!H127&gt;3000,"CCT too high,",""))</f>
        <v/>
      </c>
      <c r="G34" s="10" t="str">
        <f>IF('NonRes Compliance Calculator'!H127="","",IF('NonRes Compliance Calculator'!H127&lt;2700,"CCT too low,",""))</f>
        <v/>
      </c>
      <c r="H34" s="70"/>
      <c r="I34" s="56"/>
      <c r="J34" s="10" t="str">
        <f>IF('NonRes Compliance Calculator'!K127&lt;='NonRes Compliance Calculator'!J127,"","Exceeds allowed mounting height,")</f>
        <v/>
      </c>
      <c r="K34" s="65"/>
      <c r="L34" s="66"/>
      <c r="M34" s="66"/>
      <c r="Q34" t="str">
        <f t="shared" si="0"/>
        <v>Pass</v>
      </c>
    </row>
    <row r="35" spans="1:17" x14ac:dyDescent="0.3">
      <c r="A35" s="10">
        <f>'NonRes Compliance Calculator'!D128</f>
        <v>0</v>
      </c>
      <c r="B35" s="56"/>
      <c r="C35" s="10">
        <f>'NonRes Compliance Calculator'!C128</f>
        <v>0</v>
      </c>
      <c r="D35" s="10" t="str" cm="1">
        <f t="array" ref="D35">_xlfn.IFNA(IF('NonRes Compliance Calculator'!D128='Non-res - Ordinance Values'!$B$20,"",(IF('NonRes Compliance Calculator'!E128&gt;VLOOKUP('NonRes Compliance Calculator'!D128,'Non-res - Ordinance Values'!$B$15:$F$21,_xlfn.IFS('NonRes Compliance Calculator'!$D$27="LZ1",3,'NonRes Compliance Calculator'!$D$27="LZ2",4),FALSE),"Lumens exceed limit,",""))),"")</f>
        <v/>
      </c>
      <c r="E35" s="56"/>
      <c r="F35" s="57" t="str">
        <f>IF('NonRes Compliance Calculator'!H128="","",IF('NonRes Compliance Calculator'!H128&gt;3000,"CCT too high,",""))</f>
        <v/>
      </c>
      <c r="G35" s="10" t="str">
        <f>IF('NonRes Compliance Calculator'!H128="","",IF('NonRes Compliance Calculator'!H128&lt;2700,"CCT too low,",""))</f>
        <v/>
      </c>
      <c r="H35" s="70"/>
      <c r="I35" s="56"/>
      <c r="J35" s="10" t="str">
        <f>IF('NonRes Compliance Calculator'!K128&lt;='NonRes Compliance Calculator'!J128,"","Exceeds allowed mounting height,")</f>
        <v/>
      </c>
      <c r="K35" s="65"/>
      <c r="L35" s="66"/>
      <c r="M35" s="66"/>
      <c r="Q35" t="str">
        <f t="shared" si="0"/>
        <v>Pass</v>
      </c>
    </row>
    <row r="36" spans="1:17" x14ac:dyDescent="0.3">
      <c r="A36" s="10">
        <f>'NonRes Compliance Calculator'!D129</f>
        <v>0</v>
      </c>
      <c r="B36" s="56"/>
      <c r="C36" s="10">
        <f>'NonRes Compliance Calculator'!C129</f>
        <v>0</v>
      </c>
      <c r="D36" s="10" t="str" cm="1">
        <f t="array" ref="D36">_xlfn.IFNA(IF('NonRes Compliance Calculator'!D129='Non-res - Ordinance Values'!$B$20,"",(IF('NonRes Compliance Calculator'!E129&gt;VLOOKUP('NonRes Compliance Calculator'!D129,'Non-res - Ordinance Values'!$B$15:$F$21,_xlfn.IFS('NonRes Compliance Calculator'!$D$27="LZ1",3,'NonRes Compliance Calculator'!$D$27="LZ2",4),FALSE),"Lumens exceed limit,",""))),"")</f>
        <v/>
      </c>
      <c r="E36" s="56"/>
      <c r="F36" s="57" t="str">
        <f>IF('NonRes Compliance Calculator'!H129="","",IF('NonRes Compliance Calculator'!H129&gt;3000,"CCT too high,",""))</f>
        <v/>
      </c>
      <c r="G36" s="10" t="str">
        <f>IF('NonRes Compliance Calculator'!H129="","",IF('NonRes Compliance Calculator'!H129&lt;2700,"CCT too low,",""))</f>
        <v/>
      </c>
      <c r="H36" s="70"/>
      <c r="I36" s="56"/>
      <c r="J36" s="10" t="str">
        <f>IF('NonRes Compliance Calculator'!K129&lt;='NonRes Compliance Calculator'!J129,"","Exceeds allowed mounting height,")</f>
        <v/>
      </c>
      <c r="K36" s="65"/>
      <c r="L36" s="66"/>
      <c r="M36" s="66"/>
      <c r="Q36" t="str">
        <f t="shared" si="0"/>
        <v>Pass</v>
      </c>
    </row>
    <row r="37" spans="1:17" x14ac:dyDescent="0.3">
      <c r="A37" s="10">
        <f>'NonRes Compliance Calculator'!D130</f>
        <v>0</v>
      </c>
      <c r="B37" s="56"/>
      <c r="C37" s="10">
        <f>'NonRes Compliance Calculator'!C130</f>
        <v>0</v>
      </c>
      <c r="D37" s="10" t="str" cm="1">
        <f t="array" ref="D37">_xlfn.IFNA(IF('NonRes Compliance Calculator'!D130='Non-res - Ordinance Values'!$B$20,"",(IF('NonRes Compliance Calculator'!E130&gt;VLOOKUP('NonRes Compliance Calculator'!D130,'Non-res - Ordinance Values'!$B$15:$F$21,_xlfn.IFS('NonRes Compliance Calculator'!$D$27="LZ1",3,'NonRes Compliance Calculator'!$D$27="LZ2",4),FALSE),"Lumens exceed limit,",""))),"")</f>
        <v/>
      </c>
      <c r="E37" s="56"/>
      <c r="F37" s="57" t="str">
        <f>IF('NonRes Compliance Calculator'!H130="","",IF('NonRes Compliance Calculator'!H130&gt;3000,"CCT too high,",""))</f>
        <v/>
      </c>
      <c r="G37" s="10" t="str">
        <f>IF('NonRes Compliance Calculator'!H130="","",IF('NonRes Compliance Calculator'!H130&lt;2700,"CCT too low,",""))</f>
        <v/>
      </c>
      <c r="H37" s="70"/>
      <c r="I37" s="56"/>
      <c r="J37" s="10" t="str">
        <f>IF('NonRes Compliance Calculator'!K130&lt;='NonRes Compliance Calculator'!J130,"","Exceeds allowed mounting height,")</f>
        <v/>
      </c>
      <c r="K37" s="65"/>
      <c r="L37" s="66"/>
      <c r="M37" s="66"/>
      <c r="Q37" t="str">
        <f t="shared" si="0"/>
        <v>Pass</v>
      </c>
    </row>
    <row r="38" spans="1:17" x14ac:dyDescent="0.3">
      <c r="A38" s="10">
        <f>'NonRes Compliance Calculator'!D131</f>
        <v>0</v>
      </c>
      <c r="B38" s="56"/>
      <c r="C38" s="10">
        <f>'NonRes Compliance Calculator'!C131</f>
        <v>0</v>
      </c>
      <c r="D38" s="10" t="str" cm="1">
        <f t="array" ref="D38">_xlfn.IFNA(IF('NonRes Compliance Calculator'!D131='Non-res - Ordinance Values'!$B$20,"",(IF('NonRes Compliance Calculator'!E131&gt;VLOOKUP('NonRes Compliance Calculator'!D131,'Non-res - Ordinance Values'!$B$15:$F$21,_xlfn.IFS('NonRes Compliance Calculator'!$D$27="LZ1",3,'NonRes Compliance Calculator'!$D$27="LZ2",4),FALSE),"Lumens exceed limit,",""))),"")</f>
        <v/>
      </c>
      <c r="E38" s="56"/>
      <c r="F38" s="57" t="str">
        <f>IF('NonRes Compliance Calculator'!H131="","",IF('NonRes Compliance Calculator'!H131&gt;3000,"CCT too high,",""))</f>
        <v/>
      </c>
      <c r="G38" s="10" t="str">
        <f>IF('NonRes Compliance Calculator'!H131="","",IF('NonRes Compliance Calculator'!H131&lt;2700,"CCT too low,",""))</f>
        <v/>
      </c>
      <c r="H38" s="70"/>
      <c r="I38" s="56"/>
      <c r="J38" s="10" t="str">
        <f>IF('NonRes Compliance Calculator'!K131&lt;='NonRes Compliance Calculator'!J131,"","Exceeds allowed mounting height,")</f>
        <v/>
      </c>
      <c r="K38" s="65"/>
      <c r="L38" s="66"/>
      <c r="M38" s="66"/>
      <c r="Q38" t="str">
        <f t="shared" si="0"/>
        <v>Pass</v>
      </c>
    </row>
    <row r="39" spans="1:17" x14ac:dyDescent="0.3">
      <c r="A39" s="10">
        <f>'NonRes Compliance Calculator'!D132</f>
        <v>0</v>
      </c>
      <c r="B39" s="56"/>
      <c r="C39" s="10">
        <f>'NonRes Compliance Calculator'!C132</f>
        <v>0</v>
      </c>
      <c r="D39" s="10" t="str" cm="1">
        <f t="array" ref="D39">_xlfn.IFNA(IF('NonRes Compliance Calculator'!D132='Non-res - Ordinance Values'!$B$20,"",(IF('NonRes Compliance Calculator'!E132&gt;VLOOKUP('NonRes Compliance Calculator'!D132,'Non-res - Ordinance Values'!$B$15:$F$21,_xlfn.IFS('NonRes Compliance Calculator'!$D$27="LZ1",3,'NonRes Compliance Calculator'!$D$27="LZ2",4),FALSE),"Lumens exceed limit,",""))),"")</f>
        <v/>
      </c>
      <c r="E39" s="56"/>
      <c r="F39" s="57" t="str">
        <f>IF('NonRes Compliance Calculator'!H132="","",IF('NonRes Compliance Calculator'!H132&gt;3000,"CCT too high,",""))</f>
        <v/>
      </c>
      <c r="G39" s="10" t="str">
        <f>IF('NonRes Compliance Calculator'!H132="","",IF('NonRes Compliance Calculator'!H132&lt;2700,"CCT too low,",""))</f>
        <v/>
      </c>
      <c r="H39" s="70"/>
      <c r="I39" s="56"/>
      <c r="J39" s="10" t="str">
        <f>IF('NonRes Compliance Calculator'!K132&lt;='NonRes Compliance Calculator'!J132,"","Exceeds allowed mounting height,")</f>
        <v/>
      </c>
      <c r="K39" s="65"/>
      <c r="L39" s="66"/>
      <c r="M39" s="66"/>
      <c r="Q39" t="str">
        <f t="shared" si="0"/>
        <v>Pass</v>
      </c>
    </row>
    <row r="40" spans="1:17" x14ac:dyDescent="0.3">
      <c r="A40" s="10">
        <f>'NonRes Compliance Calculator'!D133</f>
        <v>0</v>
      </c>
      <c r="B40" s="56"/>
      <c r="C40" s="10">
        <f>'NonRes Compliance Calculator'!C133</f>
        <v>0</v>
      </c>
      <c r="D40" s="10" t="str" cm="1">
        <f t="array" ref="D40">_xlfn.IFNA(IF('NonRes Compliance Calculator'!D133='Non-res - Ordinance Values'!$B$20,"",(IF('NonRes Compliance Calculator'!E133&gt;VLOOKUP('NonRes Compliance Calculator'!D133,'Non-res - Ordinance Values'!$B$15:$F$21,_xlfn.IFS('NonRes Compliance Calculator'!$D$27="LZ1",3,'NonRes Compliance Calculator'!$D$27="LZ2",4),FALSE),"Lumens exceed limit,",""))),"")</f>
        <v/>
      </c>
      <c r="E40" s="56"/>
      <c r="F40" s="57" t="str">
        <f>IF('NonRes Compliance Calculator'!H133="","",IF('NonRes Compliance Calculator'!H133&gt;3000,"CCT too high,",""))</f>
        <v/>
      </c>
      <c r="G40" s="10" t="str">
        <f>IF('NonRes Compliance Calculator'!H133="","",IF('NonRes Compliance Calculator'!H133&lt;2700,"CCT too low,",""))</f>
        <v/>
      </c>
      <c r="H40" s="70"/>
      <c r="I40" s="56"/>
      <c r="J40" s="10" t="str">
        <f>IF('NonRes Compliance Calculator'!K133&lt;='NonRes Compliance Calculator'!J133,"","Exceeds allowed mounting height,")</f>
        <v/>
      </c>
      <c r="K40" s="65"/>
      <c r="L40" s="66"/>
      <c r="M40" s="66"/>
      <c r="Q40" t="str">
        <f t="shared" si="0"/>
        <v>Pass</v>
      </c>
    </row>
    <row r="41" spans="1:17" x14ac:dyDescent="0.3">
      <c r="A41" s="10">
        <f>'NonRes Compliance Calculator'!D134</f>
        <v>0</v>
      </c>
      <c r="B41" s="56"/>
      <c r="C41" s="10">
        <f>'NonRes Compliance Calculator'!C134</f>
        <v>0</v>
      </c>
      <c r="D41" s="10" t="str" cm="1">
        <f t="array" ref="D41">_xlfn.IFNA(IF('NonRes Compliance Calculator'!D134='Non-res - Ordinance Values'!$B$20,"",(IF('NonRes Compliance Calculator'!E134&gt;VLOOKUP('NonRes Compliance Calculator'!D134,'Non-res - Ordinance Values'!$B$15:$F$21,_xlfn.IFS('NonRes Compliance Calculator'!$D$27="LZ1",3,'NonRes Compliance Calculator'!$D$27="LZ2",4),FALSE),"Lumens exceed limit,",""))),"")</f>
        <v/>
      </c>
      <c r="E41" s="56"/>
      <c r="F41" s="57" t="str">
        <f>IF('NonRes Compliance Calculator'!H134="","",IF('NonRes Compliance Calculator'!H134&gt;3000,"CCT too high,",""))</f>
        <v/>
      </c>
      <c r="G41" s="10" t="str">
        <f>IF('NonRes Compliance Calculator'!H134="","",IF('NonRes Compliance Calculator'!H134&lt;2700,"CCT too low,",""))</f>
        <v/>
      </c>
      <c r="H41" s="70"/>
      <c r="I41" s="56"/>
      <c r="J41" s="10" t="str">
        <f>IF('NonRes Compliance Calculator'!K134&lt;='NonRes Compliance Calculator'!J134,"","Exceeds allowed mounting height,")</f>
        <v/>
      </c>
      <c r="K41" s="65"/>
      <c r="L41" s="66"/>
      <c r="M41" s="66"/>
      <c r="Q41" t="str">
        <f t="shared" si="0"/>
        <v>Pass</v>
      </c>
    </row>
    <row r="42" spans="1:17" x14ac:dyDescent="0.3">
      <c r="A42" s="10">
        <f>'NonRes Compliance Calculator'!D135</f>
        <v>0</v>
      </c>
      <c r="B42" s="56"/>
      <c r="C42" s="10">
        <f>'NonRes Compliance Calculator'!C135</f>
        <v>0</v>
      </c>
      <c r="D42" s="10" t="str" cm="1">
        <f t="array" ref="D42">_xlfn.IFNA(IF('NonRes Compliance Calculator'!D135='Non-res - Ordinance Values'!$B$20,"",(IF('NonRes Compliance Calculator'!E135&gt;VLOOKUP('NonRes Compliance Calculator'!D135,'Non-res - Ordinance Values'!$B$15:$F$21,_xlfn.IFS('NonRes Compliance Calculator'!$D$27="LZ1",3,'NonRes Compliance Calculator'!$D$27="LZ2",4),FALSE),"Lumens exceed limit,",""))),"")</f>
        <v/>
      </c>
      <c r="E42" s="56"/>
      <c r="F42" s="57" t="str">
        <f>IF('NonRes Compliance Calculator'!H135="","",IF('NonRes Compliance Calculator'!H135&gt;3000,"CCT too high,",""))</f>
        <v/>
      </c>
      <c r="G42" s="10" t="str">
        <f>IF('NonRes Compliance Calculator'!H135="","",IF('NonRes Compliance Calculator'!H135&lt;2700,"CCT too low,",""))</f>
        <v/>
      </c>
      <c r="H42" s="70"/>
      <c r="I42" s="56"/>
      <c r="J42" s="10" t="str">
        <f>IF('NonRes Compliance Calculator'!K135&lt;='NonRes Compliance Calculator'!J135,"","Exceeds allowed mounting height,")</f>
        <v/>
      </c>
      <c r="K42" s="65"/>
      <c r="L42" s="66"/>
      <c r="M42" s="66"/>
      <c r="Q42" t="str">
        <f t="shared" si="0"/>
        <v>Pass</v>
      </c>
    </row>
    <row r="43" spans="1:17" x14ac:dyDescent="0.3">
      <c r="A43" s="10">
        <f>'NonRes Compliance Calculator'!D136</f>
        <v>0</v>
      </c>
      <c r="B43" s="56"/>
      <c r="C43" s="10">
        <f>'NonRes Compliance Calculator'!C136</f>
        <v>0</v>
      </c>
      <c r="D43" s="10" t="str" cm="1">
        <f t="array" ref="D43">_xlfn.IFNA(IF('NonRes Compliance Calculator'!D136='Non-res - Ordinance Values'!$B$20,"",(IF('NonRes Compliance Calculator'!E136&gt;VLOOKUP('NonRes Compliance Calculator'!D136,'Non-res - Ordinance Values'!$B$15:$F$21,_xlfn.IFS('NonRes Compliance Calculator'!$D$27="LZ1",3,'NonRes Compliance Calculator'!$D$27="LZ2",4),FALSE),"Lumens exceed limit,",""))),"")</f>
        <v/>
      </c>
      <c r="E43" s="56"/>
      <c r="F43" s="57" t="str">
        <f>IF('NonRes Compliance Calculator'!H136="","",IF('NonRes Compliance Calculator'!H136&gt;3000,"CCT too high,",""))</f>
        <v/>
      </c>
      <c r="G43" s="10" t="str">
        <f>IF('NonRes Compliance Calculator'!H136="","",IF('NonRes Compliance Calculator'!H136&lt;2700,"CCT too low,",""))</f>
        <v/>
      </c>
      <c r="H43" s="70"/>
      <c r="I43" s="56"/>
      <c r="J43" s="10" t="str">
        <f>IF('NonRes Compliance Calculator'!K136&lt;='NonRes Compliance Calculator'!J136,"","Exceeds allowed mounting height,")</f>
        <v/>
      </c>
      <c r="K43" s="65"/>
      <c r="L43" s="66"/>
      <c r="M43" s="66"/>
      <c r="Q43" t="str">
        <f t="shared" si="0"/>
        <v>Pass</v>
      </c>
    </row>
    <row r="44" spans="1:17" x14ac:dyDescent="0.3">
      <c r="A44" s="10">
        <f>'NonRes Compliance Calculator'!D137</f>
        <v>0</v>
      </c>
      <c r="B44" s="56"/>
      <c r="C44" s="10">
        <f>'NonRes Compliance Calculator'!C137</f>
        <v>0</v>
      </c>
      <c r="D44" s="10" t="str" cm="1">
        <f t="array" ref="D44">_xlfn.IFNA(IF('NonRes Compliance Calculator'!D137='Non-res - Ordinance Values'!$B$20,"",(IF('NonRes Compliance Calculator'!E137&gt;VLOOKUP('NonRes Compliance Calculator'!D137,'Non-res - Ordinance Values'!$B$15:$F$21,_xlfn.IFS('NonRes Compliance Calculator'!$D$27="LZ1",3,'NonRes Compliance Calculator'!$D$27="LZ2",4),FALSE),"Lumens exceed limit,",""))),"")</f>
        <v/>
      </c>
      <c r="E44" s="56"/>
      <c r="F44" s="57" t="str">
        <f>IF('NonRes Compliance Calculator'!H137="","",IF('NonRes Compliance Calculator'!H137&gt;3000,"CCT too high,",""))</f>
        <v/>
      </c>
      <c r="G44" s="10" t="str">
        <f>IF('NonRes Compliance Calculator'!H137="","",IF('NonRes Compliance Calculator'!H137&lt;2700,"CCT too low,",""))</f>
        <v/>
      </c>
      <c r="H44" s="70"/>
      <c r="I44" s="56"/>
      <c r="J44" s="10" t="str">
        <f>IF('NonRes Compliance Calculator'!K137&lt;='NonRes Compliance Calculator'!J137,"","Exceeds allowed mounting height,")</f>
        <v/>
      </c>
      <c r="K44" s="65"/>
      <c r="L44" s="66"/>
      <c r="M44" s="66"/>
      <c r="Q44" t="str">
        <f t="shared" si="0"/>
        <v>Pass</v>
      </c>
    </row>
    <row r="45" spans="1:17" x14ac:dyDescent="0.3">
      <c r="A45" s="10">
        <f>'NonRes Compliance Calculator'!D138</f>
        <v>0</v>
      </c>
      <c r="B45" s="56"/>
      <c r="C45" s="10">
        <f>'NonRes Compliance Calculator'!C138</f>
        <v>0</v>
      </c>
      <c r="D45" s="10" t="str" cm="1">
        <f t="array" ref="D45">_xlfn.IFNA(IF('NonRes Compliance Calculator'!D138='Non-res - Ordinance Values'!$B$20,"",(IF('NonRes Compliance Calculator'!E138&gt;VLOOKUP('NonRes Compliance Calculator'!D138,'Non-res - Ordinance Values'!$B$15:$F$21,_xlfn.IFS('NonRes Compliance Calculator'!$D$27="LZ1",3,'NonRes Compliance Calculator'!$D$27="LZ2",4),FALSE),"Lumens exceed limit,",""))),"")</f>
        <v/>
      </c>
      <c r="E45" s="56"/>
      <c r="F45" s="57" t="str">
        <f>IF('NonRes Compliance Calculator'!H138="","",IF('NonRes Compliance Calculator'!H138&gt;3000,"CCT too high,",""))</f>
        <v/>
      </c>
      <c r="G45" s="10" t="str">
        <f>IF('NonRes Compliance Calculator'!H138="","",IF('NonRes Compliance Calculator'!H138&lt;2700,"CCT too low,",""))</f>
        <v/>
      </c>
      <c r="H45" s="70"/>
      <c r="I45" s="56"/>
      <c r="J45" s="10" t="str">
        <f>IF('NonRes Compliance Calculator'!K138&lt;='NonRes Compliance Calculator'!J138,"","Exceeds allowed mounting height,")</f>
        <v/>
      </c>
      <c r="K45" s="65"/>
      <c r="L45" s="66"/>
      <c r="M45" s="66"/>
      <c r="Q45" t="str">
        <f t="shared" si="0"/>
        <v>Pass</v>
      </c>
    </row>
    <row r="46" spans="1:17" x14ac:dyDescent="0.3">
      <c r="A46" s="10">
        <f>'NonRes Compliance Calculator'!D139</f>
        <v>0</v>
      </c>
      <c r="B46" s="56"/>
      <c r="C46" s="10">
        <f>'NonRes Compliance Calculator'!C139</f>
        <v>0</v>
      </c>
      <c r="D46" s="10" t="str" cm="1">
        <f t="array" ref="D46">_xlfn.IFNA(IF('NonRes Compliance Calculator'!D139='Non-res - Ordinance Values'!$B$20,"",(IF('NonRes Compliance Calculator'!E139&gt;VLOOKUP('NonRes Compliance Calculator'!D139,'Non-res - Ordinance Values'!$B$15:$F$21,_xlfn.IFS('NonRes Compliance Calculator'!$D$27="LZ1",3,'NonRes Compliance Calculator'!$D$27="LZ2",4),FALSE),"Lumens exceed limit,",""))),"")</f>
        <v/>
      </c>
      <c r="E46" s="56"/>
      <c r="F46" s="57" t="str">
        <f>IF('NonRes Compliance Calculator'!H139="","",IF('NonRes Compliance Calculator'!H139&gt;3000,"CCT too high,",""))</f>
        <v/>
      </c>
      <c r="G46" s="10" t="str">
        <f>IF('NonRes Compliance Calculator'!H139="","",IF('NonRes Compliance Calculator'!H139&lt;2700,"CCT too low,",""))</f>
        <v/>
      </c>
      <c r="H46" s="70"/>
      <c r="I46" s="56"/>
      <c r="J46" s="10" t="str">
        <f>IF('NonRes Compliance Calculator'!K139&lt;='NonRes Compliance Calculator'!J139,"","Exceeds allowed mounting height,")</f>
        <v/>
      </c>
      <c r="K46" s="65"/>
      <c r="L46" s="66"/>
      <c r="M46" s="66"/>
      <c r="Q46" t="str">
        <f t="shared" si="0"/>
        <v>Pass</v>
      </c>
    </row>
    <row r="47" spans="1:17" x14ac:dyDescent="0.3">
      <c r="A47" s="10">
        <f>'NonRes Compliance Calculator'!D140</f>
        <v>0</v>
      </c>
      <c r="B47" s="56"/>
      <c r="C47" s="10">
        <f>'NonRes Compliance Calculator'!C140</f>
        <v>0</v>
      </c>
      <c r="D47" s="10" t="str" cm="1">
        <f t="array" ref="D47">_xlfn.IFNA(IF('NonRes Compliance Calculator'!D140='Non-res - Ordinance Values'!$B$20,"",(IF('NonRes Compliance Calculator'!E140&gt;VLOOKUP('NonRes Compliance Calculator'!D140,'Non-res - Ordinance Values'!$B$15:$F$21,_xlfn.IFS('NonRes Compliance Calculator'!$D$27="LZ1",3,'NonRes Compliance Calculator'!$D$27="LZ2",4),FALSE),"Lumens exceed limit,",""))),"")</f>
        <v/>
      </c>
      <c r="E47" s="56"/>
      <c r="F47" s="57" t="str">
        <f>IF('NonRes Compliance Calculator'!H140="","",IF('NonRes Compliance Calculator'!H140&gt;3000,"CCT too high,",""))</f>
        <v/>
      </c>
      <c r="G47" s="10" t="str">
        <f>IF('NonRes Compliance Calculator'!H140="","",IF('NonRes Compliance Calculator'!H140&lt;2700,"CCT too low,",""))</f>
        <v/>
      </c>
      <c r="H47" s="70"/>
      <c r="I47" s="56"/>
      <c r="J47" s="10" t="str">
        <f>IF('NonRes Compliance Calculator'!K140&lt;='NonRes Compliance Calculator'!J140,"","Exceeds allowed mounting height,")</f>
        <v/>
      </c>
      <c r="K47" s="65"/>
      <c r="L47" s="66"/>
      <c r="M47" s="66"/>
      <c r="Q47" t="str">
        <f t="shared" si="0"/>
        <v>Pass</v>
      </c>
    </row>
    <row r="48" spans="1:17" x14ac:dyDescent="0.3">
      <c r="A48" s="10">
        <f>'NonRes Compliance Calculator'!D141</f>
        <v>0</v>
      </c>
      <c r="B48" s="56"/>
      <c r="C48" s="10">
        <f>'NonRes Compliance Calculator'!C141</f>
        <v>0</v>
      </c>
      <c r="D48" s="10" t="str" cm="1">
        <f t="array" ref="D48">_xlfn.IFNA(IF('NonRes Compliance Calculator'!D141='Non-res - Ordinance Values'!$B$20,"",(IF('NonRes Compliance Calculator'!E141&gt;VLOOKUP('NonRes Compliance Calculator'!D141,'Non-res - Ordinance Values'!$B$15:$F$21,_xlfn.IFS('NonRes Compliance Calculator'!$D$27="LZ1",3,'NonRes Compliance Calculator'!$D$27="LZ2",4),FALSE),"Lumens exceed limit,",""))),"")</f>
        <v/>
      </c>
      <c r="E48" s="56"/>
      <c r="F48" s="57" t="str">
        <f>IF('NonRes Compliance Calculator'!H141="","",IF('NonRes Compliance Calculator'!H141&gt;3000,"CCT too high,",""))</f>
        <v/>
      </c>
      <c r="G48" s="10" t="str">
        <f>IF('NonRes Compliance Calculator'!H141="","",IF('NonRes Compliance Calculator'!H141&lt;2700,"CCT too low,",""))</f>
        <v/>
      </c>
      <c r="H48" s="70"/>
      <c r="I48" s="56"/>
      <c r="J48" s="10" t="str">
        <f>IF('NonRes Compliance Calculator'!K141&lt;='NonRes Compliance Calculator'!J141,"","Exceeds allowed mounting height,")</f>
        <v/>
      </c>
      <c r="K48" s="65"/>
      <c r="L48" s="66"/>
      <c r="M48" s="66"/>
      <c r="Q48" t="str">
        <f t="shared" si="0"/>
        <v>Pass</v>
      </c>
    </row>
    <row r="49" spans="1:17" x14ac:dyDescent="0.3">
      <c r="A49" s="10">
        <f>'NonRes Compliance Calculator'!D143</f>
        <v>0</v>
      </c>
      <c r="B49" s="56"/>
      <c r="C49" s="10">
        <f>'NonRes Compliance Calculator'!C143</f>
        <v>0</v>
      </c>
      <c r="D49" s="10" t="str" cm="1">
        <f t="array" ref="D49">_xlfn.IFNA(IF('NonRes Compliance Calculator'!D143='Non-res - Ordinance Values'!$B$20,"",(IF('NonRes Compliance Calculator'!E143&gt;VLOOKUP('NonRes Compliance Calculator'!D143,'Non-res - Ordinance Values'!$B$15:$F$21,_xlfn.IFS('NonRes Compliance Calculator'!$D$27="LZ1",3,'NonRes Compliance Calculator'!$D$27="LZ2",4),FALSE),"Lumens exceed limit,",""))),"")</f>
        <v/>
      </c>
      <c r="E49" s="56"/>
      <c r="F49" s="57" t="str">
        <f>IF('NonRes Compliance Calculator'!H143="","",IF('NonRes Compliance Calculator'!H143&gt;3000,"CCT too high,",""))</f>
        <v/>
      </c>
      <c r="G49" s="10" t="str">
        <f>IF('NonRes Compliance Calculator'!H143="","",IF('NonRes Compliance Calculator'!H143&lt;2700,"CCT too low,",""))</f>
        <v/>
      </c>
      <c r="H49" s="70"/>
      <c r="I49" s="56"/>
      <c r="J49" s="10" t="str">
        <f>IF('NonRes Compliance Calculator'!K143&lt;='NonRes Compliance Calculator'!J143,"","Exceeds allowed mounting height,")</f>
        <v/>
      </c>
      <c r="K49" s="65"/>
      <c r="L49" s="66"/>
      <c r="M49" s="66"/>
      <c r="Q49" t="str">
        <f t="shared" si="0"/>
        <v>Pass</v>
      </c>
    </row>
    <row r="50" spans="1:17" x14ac:dyDescent="0.3">
      <c r="A50" s="10">
        <f>'NonRes Compliance Calculator'!D145</f>
        <v>0</v>
      </c>
      <c r="B50" s="56"/>
      <c r="C50" s="10">
        <f>'NonRes Compliance Calculator'!C145</f>
        <v>0</v>
      </c>
      <c r="D50" s="10" t="str" cm="1">
        <f t="array" ref="D50">_xlfn.IFNA(IF('NonRes Compliance Calculator'!D145='Non-res - Ordinance Values'!$B$20,"",(IF('NonRes Compliance Calculator'!E145&gt;VLOOKUP('NonRes Compliance Calculator'!D145,'Non-res - Ordinance Values'!$B$15:$F$21,_xlfn.IFS('NonRes Compliance Calculator'!$D$27="LZ1",3,'NonRes Compliance Calculator'!$D$27="LZ2",4),FALSE),"Lumens exceed limit,",""))),"")</f>
        <v/>
      </c>
      <c r="E50" s="56"/>
      <c r="F50" s="57" t="str">
        <f>IF('NonRes Compliance Calculator'!H145="","",IF('NonRes Compliance Calculator'!H145&gt;3000,"CCT too high,",""))</f>
        <v/>
      </c>
      <c r="G50" s="10" t="str">
        <f>IF('NonRes Compliance Calculator'!H145="","",IF('NonRes Compliance Calculator'!H145&lt;2700,"CCT too low,",""))</f>
        <v/>
      </c>
      <c r="H50" s="70"/>
      <c r="I50" s="56"/>
      <c r="J50" s="10" t="str">
        <f>IF('NonRes Compliance Calculator'!K145&lt;='NonRes Compliance Calculator'!J145,"","Exceeds allowed mounting height,")</f>
        <v/>
      </c>
      <c r="K50" s="65"/>
      <c r="L50" s="66"/>
      <c r="M50" s="66"/>
      <c r="Q50" t="str">
        <f t="shared" si="0"/>
        <v>Pass</v>
      </c>
    </row>
    <row r="51" spans="1:17" x14ac:dyDescent="0.3">
      <c r="A51" s="10">
        <f>'NonRes Compliance Calculator'!D146</f>
        <v>0</v>
      </c>
      <c r="B51" s="56"/>
      <c r="C51" s="10">
        <f>'NonRes Compliance Calculator'!C146</f>
        <v>0</v>
      </c>
      <c r="D51" s="10" t="str" cm="1">
        <f t="array" ref="D51">_xlfn.IFNA(IF('NonRes Compliance Calculator'!D146='Non-res - Ordinance Values'!$B$20,"",(IF('NonRes Compliance Calculator'!E146&gt;VLOOKUP('NonRes Compliance Calculator'!D146,'Non-res - Ordinance Values'!$B$15:$F$21,_xlfn.IFS('NonRes Compliance Calculator'!$D$27="LZ1",3,'NonRes Compliance Calculator'!$D$27="LZ2",4),FALSE),"Lumens exceed limit,",""))),"")</f>
        <v/>
      </c>
      <c r="E51" s="56"/>
      <c r="F51" s="57" t="str">
        <f>IF('NonRes Compliance Calculator'!H146="","",IF('NonRes Compliance Calculator'!H146&gt;3000,"CCT too high,",""))</f>
        <v/>
      </c>
      <c r="G51" s="10" t="str">
        <f>IF('NonRes Compliance Calculator'!H146="","",IF('NonRes Compliance Calculator'!H146&lt;2700,"CCT too low,",""))</f>
        <v/>
      </c>
      <c r="H51" s="70"/>
      <c r="I51" s="56"/>
      <c r="J51" s="10" t="str">
        <f>IF('NonRes Compliance Calculator'!K146&lt;='NonRes Compliance Calculator'!J146,"","Exceeds allowed mounting height,")</f>
        <v/>
      </c>
      <c r="K51" s="65"/>
      <c r="L51" s="66"/>
      <c r="M51" s="66"/>
      <c r="Q51" t="str">
        <f t="shared" si="0"/>
        <v>Pass</v>
      </c>
    </row>
    <row r="52" spans="1:17" x14ac:dyDescent="0.3">
      <c r="A52" s="10">
        <f>'NonRes Compliance Calculator'!D147</f>
        <v>0</v>
      </c>
      <c r="B52" s="56"/>
      <c r="C52" s="10">
        <f>'NonRes Compliance Calculator'!C147</f>
        <v>0</v>
      </c>
      <c r="D52" s="10" t="str" cm="1">
        <f t="array" ref="D52">_xlfn.IFNA(IF('NonRes Compliance Calculator'!D147='Non-res - Ordinance Values'!$B$20,"",(IF('NonRes Compliance Calculator'!E147&gt;VLOOKUP('NonRes Compliance Calculator'!D147,'Non-res - Ordinance Values'!$B$15:$F$21,_xlfn.IFS('NonRes Compliance Calculator'!$D$27="LZ1",3,'NonRes Compliance Calculator'!$D$27="LZ2",4),FALSE),"Lumens exceed limit,",""))),"")</f>
        <v/>
      </c>
      <c r="E52" s="56"/>
      <c r="F52" s="57" t="str">
        <f>IF('NonRes Compliance Calculator'!H147="","",IF('NonRes Compliance Calculator'!H147&gt;3000,"CCT too high,",""))</f>
        <v/>
      </c>
      <c r="G52" s="10" t="str">
        <f>IF('NonRes Compliance Calculator'!H147="","",IF('NonRes Compliance Calculator'!H147&lt;2700,"CCT too low,",""))</f>
        <v/>
      </c>
      <c r="H52" s="70"/>
      <c r="I52" s="56"/>
      <c r="J52" s="10" t="str">
        <f>IF('NonRes Compliance Calculator'!K147&lt;='NonRes Compliance Calculator'!J147,"","Exceeds allowed mounting height,")</f>
        <v/>
      </c>
      <c r="K52" s="65"/>
      <c r="L52" s="66"/>
      <c r="M52" s="66"/>
      <c r="Q52" t="str">
        <f t="shared" si="0"/>
        <v>Pass</v>
      </c>
    </row>
    <row r="53" spans="1:17" x14ac:dyDescent="0.3">
      <c r="A53" s="10">
        <f>'NonRes Compliance Calculator'!D148</f>
        <v>0</v>
      </c>
      <c r="B53" s="56"/>
      <c r="C53" s="10">
        <f>'NonRes Compliance Calculator'!C148</f>
        <v>0</v>
      </c>
      <c r="D53" s="10" t="str" cm="1">
        <f t="array" ref="D53">_xlfn.IFNA(IF('NonRes Compliance Calculator'!D148='Non-res - Ordinance Values'!$B$20,"",(IF('NonRes Compliance Calculator'!E148&gt;VLOOKUP('NonRes Compliance Calculator'!D148,'Non-res - Ordinance Values'!$B$15:$F$21,_xlfn.IFS('NonRes Compliance Calculator'!$D$27="LZ1",3,'NonRes Compliance Calculator'!$D$27="LZ2",4),FALSE),"Lumens exceed limit,",""))),"")</f>
        <v/>
      </c>
      <c r="E53" s="56"/>
      <c r="F53" s="57" t="str">
        <f>IF('NonRes Compliance Calculator'!H148="","",IF('NonRes Compliance Calculator'!H148&gt;3000,"CCT too high,",""))</f>
        <v/>
      </c>
      <c r="G53" s="10" t="str">
        <f>IF('NonRes Compliance Calculator'!H148="","",IF('NonRes Compliance Calculator'!H148&lt;2700,"CCT too low,",""))</f>
        <v/>
      </c>
      <c r="H53" s="70"/>
      <c r="I53" s="56"/>
      <c r="J53" s="10" t="str">
        <f>IF('NonRes Compliance Calculator'!K148&lt;='NonRes Compliance Calculator'!J148,"","Exceeds allowed mounting height,")</f>
        <v/>
      </c>
      <c r="K53" s="65"/>
      <c r="L53" s="66"/>
      <c r="M53" s="66"/>
      <c r="Q53" t="str">
        <f t="shared" si="0"/>
        <v>Pass</v>
      </c>
    </row>
    <row r="54" spans="1:17" x14ac:dyDescent="0.3">
      <c r="A54" s="10">
        <f>'NonRes Compliance Calculator'!D149</f>
        <v>0</v>
      </c>
      <c r="B54" s="56"/>
      <c r="C54" s="10">
        <f>'NonRes Compliance Calculator'!C149</f>
        <v>0</v>
      </c>
      <c r="D54" s="10" t="str" cm="1">
        <f t="array" ref="D54">_xlfn.IFNA(IF('NonRes Compliance Calculator'!D149='Non-res - Ordinance Values'!$B$20,"",(IF('NonRes Compliance Calculator'!E149&gt;VLOOKUP('NonRes Compliance Calculator'!D149,'Non-res - Ordinance Values'!$B$15:$F$21,_xlfn.IFS('NonRes Compliance Calculator'!$D$27="LZ1",3,'NonRes Compliance Calculator'!$D$27="LZ2",4),FALSE),"Lumens exceed limit,",""))),"")</f>
        <v/>
      </c>
      <c r="E54" s="56"/>
      <c r="F54" s="57" t="str">
        <f>IF('NonRes Compliance Calculator'!H149="","",IF('NonRes Compliance Calculator'!H149&gt;3000,"CCT too high,",""))</f>
        <v/>
      </c>
      <c r="G54" s="10" t="str">
        <f>IF('NonRes Compliance Calculator'!H149="","",IF('NonRes Compliance Calculator'!H149&lt;2700,"CCT too low,",""))</f>
        <v/>
      </c>
      <c r="H54" s="70"/>
      <c r="I54" s="56"/>
      <c r="J54" s="10" t="str">
        <f>IF('NonRes Compliance Calculator'!K149&lt;='NonRes Compliance Calculator'!J149,"","Exceeds allowed mounting height,")</f>
        <v/>
      </c>
      <c r="K54" s="65"/>
      <c r="L54" s="66"/>
      <c r="M54" s="66"/>
      <c r="Q54" t="str">
        <f t="shared" si="0"/>
        <v>Pass</v>
      </c>
    </row>
    <row r="55" spans="1:17" x14ac:dyDescent="0.3">
      <c r="A55" s="10">
        <f>'NonRes Compliance Calculator'!D150</f>
        <v>0</v>
      </c>
      <c r="B55" s="56"/>
      <c r="C55" s="10">
        <f>'NonRes Compliance Calculator'!C150</f>
        <v>0</v>
      </c>
      <c r="D55" s="10" t="str" cm="1">
        <f t="array" ref="D55">_xlfn.IFNA(IF('NonRes Compliance Calculator'!D150='Non-res - Ordinance Values'!$B$20,"",(IF('NonRes Compliance Calculator'!E150&gt;VLOOKUP('NonRes Compliance Calculator'!D150,'Non-res - Ordinance Values'!$B$15:$F$21,_xlfn.IFS('NonRes Compliance Calculator'!$D$27="LZ1",3,'NonRes Compliance Calculator'!$D$27="LZ2",4),FALSE),"Lumens exceed limit,",""))),"")</f>
        <v/>
      </c>
      <c r="E55" s="56"/>
      <c r="F55" s="57" t="str">
        <f>IF('NonRes Compliance Calculator'!H150="","",IF('NonRes Compliance Calculator'!H150&gt;3000,"CCT too high,",""))</f>
        <v/>
      </c>
      <c r="G55" s="10" t="str">
        <f>IF('NonRes Compliance Calculator'!H150="","",IF('NonRes Compliance Calculator'!H150&lt;2700,"CCT too low,",""))</f>
        <v/>
      </c>
      <c r="H55" s="70"/>
      <c r="I55" s="56"/>
      <c r="J55" s="10" t="str">
        <f>IF('NonRes Compliance Calculator'!K150&lt;='NonRes Compliance Calculator'!J150,"","Exceeds allowed mounting height,")</f>
        <v/>
      </c>
      <c r="K55" s="65"/>
      <c r="L55" s="66"/>
      <c r="M55" s="66"/>
      <c r="Q55" t="str">
        <f t="shared" si="0"/>
        <v>Pass</v>
      </c>
    </row>
    <row r="56" spans="1:17" x14ac:dyDescent="0.3">
      <c r="A56" s="10">
        <f>'NonRes Compliance Calculator'!D151</f>
        <v>0</v>
      </c>
      <c r="B56" s="56"/>
      <c r="C56" s="10">
        <f>'NonRes Compliance Calculator'!C151</f>
        <v>0</v>
      </c>
      <c r="D56" s="10" t="str" cm="1">
        <f t="array" ref="D56">_xlfn.IFNA(IF('NonRes Compliance Calculator'!D151='Non-res - Ordinance Values'!$B$20,"",(IF('NonRes Compliance Calculator'!E151&gt;VLOOKUP('NonRes Compliance Calculator'!D151,'Non-res - Ordinance Values'!$B$15:$F$21,_xlfn.IFS('NonRes Compliance Calculator'!$D$27="LZ1",3,'NonRes Compliance Calculator'!$D$27="LZ2",4),FALSE),"Lumens exceed limit,",""))),"")</f>
        <v/>
      </c>
      <c r="E56" s="56"/>
      <c r="F56" s="57" t="str">
        <f>IF('NonRes Compliance Calculator'!H151="","",IF('NonRes Compliance Calculator'!H151&gt;3000,"CCT too high,",""))</f>
        <v/>
      </c>
      <c r="G56" s="10" t="str">
        <f>IF('NonRes Compliance Calculator'!H151="","",IF('NonRes Compliance Calculator'!H151&lt;2700,"CCT too low,",""))</f>
        <v/>
      </c>
      <c r="H56" s="70"/>
      <c r="I56" s="56"/>
      <c r="J56" s="10" t="str">
        <f>IF('NonRes Compliance Calculator'!K151&lt;='NonRes Compliance Calculator'!J151,"","Exceeds allowed mounting height,")</f>
        <v/>
      </c>
      <c r="K56" s="65"/>
      <c r="L56" s="66"/>
      <c r="M56" s="66"/>
      <c r="Q56" t="str">
        <f t="shared" si="0"/>
        <v>Pass</v>
      </c>
    </row>
    <row r="57" spans="1:17" x14ac:dyDescent="0.3">
      <c r="A57" s="10">
        <f>'NonRes Compliance Calculator'!D152</f>
        <v>0</v>
      </c>
      <c r="B57" s="56"/>
      <c r="C57" s="10">
        <f>'NonRes Compliance Calculator'!C152</f>
        <v>0</v>
      </c>
      <c r="D57" s="10" t="str" cm="1">
        <f t="array" ref="D57">_xlfn.IFNA(IF('NonRes Compliance Calculator'!D152='Non-res - Ordinance Values'!$B$20,"",(IF('NonRes Compliance Calculator'!E152&gt;VLOOKUP('NonRes Compliance Calculator'!D152,'Non-res - Ordinance Values'!$B$15:$F$21,_xlfn.IFS('NonRes Compliance Calculator'!$D$27="LZ1",3,'NonRes Compliance Calculator'!$D$27="LZ2",4),FALSE),"Lumens exceed limit,",""))),"")</f>
        <v/>
      </c>
      <c r="E57" s="56"/>
      <c r="F57" s="57" t="str">
        <f>IF('NonRes Compliance Calculator'!H152="","",IF('NonRes Compliance Calculator'!H152&gt;3000,"CCT too high,",""))</f>
        <v/>
      </c>
      <c r="G57" s="10" t="str">
        <f>IF('NonRes Compliance Calculator'!H152="","",IF('NonRes Compliance Calculator'!H152&lt;2700,"CCT too low,",""))</f>
        <v/>
      </c>
      <c r="H57" s="70"/>
      <c r="I57" s="56"/>
      <c r="J57" s="10" t="str">
        <f>IF('NonRes Compliance Calculator'!K152&lt;='NonRes Compliance Calculator'!J152,"","Exceeds allowed mounting height,")</f>
        <v/>
      </c>
      <c r="K57" s="65"/>
      <c r="L57" s="66"/>
      <c r="M57" s="66"/>
      <c r="Q57" t="str">
        <f t="shared" si="0"/>
        <v>Pass</v>
      </c>
    </row>
  </sheetData>
  <sheetProtection algorithmName="SHA-512" hashValue="yS+bMjvHd6S2xkRgzf8bkqbzhCZmSs3ZTAURFTe5i3/oPthRNfJi0EdjtyibISxGRYzCvrPJkbu/mpeRxm6p1g==" saltValue="rDSJsVjU71+S/KGxYPWvUQ==" spinCount="100000" sheet="1" objects="1" scenarios="1"/>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247E6-21AA-4E93-AB85-7D5DAC24AF8E}">
  <sheetPr>
    <tabColor rgb="FF00B050"/>
  </sheetPr>
  <dimension ref="A1:L26"/>
  <sheetViews>
    <sheetView showGridLines="0" tabSelected="1" zoomScale="110" zoomScaleNormal="110" workbookViewId="0"/>
  </sheetViews>
  <sheetFormatPr defaultRowHeight="14.4" x14ac:dyDescent="0.3"/>
  <cols>
    <col min="2" max="2" width="1.5546875" customWidth="1"/>
    <col min="3" max="3" width="2.6640625" customWidth="1"/>
    <col min="4" max="4" width="24.33203125" customWidth="1"/>
    <col min="7" max="7" width="12" customWidth="1"/>
    <col min="8" max="8" width="7.21875" customWidth="1"/>
    <col min="9" max="9" width="35" customWidth="1"/>
  </cols>
  <sheetData>
    <row r="1" spans="1:12" ht="50.55" customHeight="1" thickBot="1" x14ac:dyDescent="0.35">
      <c r="A1" s="341"/>
    </row>
    <row r="2" spans="1:12" ht="4.95" customHeight="1" x14ac:dyDescent="0.3">
      <c r="B2" s="424" t="s">
        <v>405</v>
      </c>
      <c r="C2" s="425"/>
      <c r="D2" s="425"/>
      <c r="E2" s="425"/>
      <c r="F2" s="425"/>
      <c r="G2" s="425"/>
      <c r="H2" s="425"/>
      <c r="I2" s="337"/>
    </row>
    <row r="3" spans="1:12" ht="14.55" customHeight="1" x14ac:dyDescent="0.3">
      <c r="B3" s="426"/>
      <c r="C3" s="427"/>
      <c r="D3" s="427"/>
      <c r="E3" s="427"/>
      <c r="F3" s="427"/>
      <c r="G3" s="427"/>
      <c r="H3" s="427"/>
      <c r="I3" s="339"/>
    </row>
    <row r="4" spans="1:12" ht="10.95" customHeight="1" x14ac:dyDescent="0.3">
      <c r="B4" s="426"/>
      <c r="C4" s="427"/>
      <c r="D4" s="427"/>
      <c r="E4" s="427"/>
      <c r="F4" s="427"/>
      <c r="G4" s="427"/>
      <c r="H4" s="427"/>
      <c r="I4" s="339"/>
    </row>
    <row r="5" spans="1:12" ht="7.05" customHeight="1" x14ac:dyDescent="0.3">
      <c r="B5" s="426"/>
      <c r="C5" s="427"/>
      <c r="D5" s="427"/>
      <c r="E5" s="427"/>
      <c r="F5" s="427"/>
      <c r="G5" s="427"/>
      <c r="H5" s="427"/>
      <c r="I5" s="339"/>
    </row>
    <row r="6" spans="1:12" ht="14.55" customHeight="1" x14ac:dyDescent="0.3">
      <c r="B6" s="422" t="s">
        <v>430</v>
      </c>
      <c r="C6" s="423"/>
      <c r="D6" s="423"/>
      <c r="E6" s="423"/>
      <c r="F6" s="423"/>
      <c r="G6" s="423"/>
      <c r="H6" s="423"/>
      <c r="I6" s="335"/>
    </row>
    <row r="7" spans="1:12" ht="14.55" customHeight="1" thickBot="1" x14ac:dyDescent="0.35">
      <c r="B7" s="338"/>
      <c r="C7" s="52"/>
      <c r="D7" s="52"/>
      <c r="E7" s="52"/>
      <c r="F7" s="52"/>
      <c r="G7" s="52"/>
      <c r="H7" s="52"/>
      <c r="I7" s="336"/>
    </row>
    <row r="8" spans="1:12" ht="15" thickBot="1" x14ac:dyDescent="0.35"/>
    <row r="9" spans="1:12" ht="53.55" customHeight="1" thickBot="1" x14ac:dyDescent="0.35">
      <c r="B9" s="419" t="s">
        <v>409</v>
      </c>
      <c r="C9" s="420"/>
      <c r="D9" s="420"/>
      <c r="E9" s="420"/>
      <c r="F9" s="420"/>
      <c r="G9" s="420"/>
      <c r="H9" s="420"/>
      <c r="I9" s="421"/>
    </row>
    <row r="11" spans="1:12" ht="3" customHeight="1" thickBot="1" x14ac:dyDescent="0.35">
      <c r="B11" s="42"/>
      <c r="C11" s="42"/>
      <c r="D11" s="42"/>
      <c r="E11" s="42"/>
      <c r="F11" s="42"/>
      <c r="G11" s="42"/>
      <c r="H11" s="42"/>
      <c r="I11" s="42"/>
    </row>
    <row r="12" spans="1:12" ht="19.8" customHeight="1" x14ac:dyDescent="0.3">
      <c r="B12" s="382"/>
      <c r="C12" s="383" t="s">
        <v>407</v>
      </c>
      <c r="D12" s="341"/>
      <c r="E12" s="341"/>
      <c r="F12" s="341"/>
      <c r="G12" s="341"/>
      <c r="H12" s="341"/>
      <c r="I12" s="384"/>
    </row>
    <row r="13" spans="1:12" ht="18.75" customHeight="1" x14ac:dyDescent="0.3">
      <c r="B13" s="382"/>
      <c r="C13" s="341"/>
      <c r="D13" s="415" t="s">
        <v>419</v>
      </c>
      <c r="E13" s="341"/>
      <c r="F13" s="341"/>
      <c r="G13" s="341"/>
      <c r="H13" s="341"/>
      <c r="I13" s="384"/>
      <c r="L13" s="341"/>
    </row>
    <row r="14" spans="1:12" ht="18.75" customHeight="1" x14ac:dyDescent="0.3">
      <c r="B14" s="382"/>
      <c r="C14" s="341"/>
      <c r="D14" s="381" t="s">
        <v>420</v>
      </c>
      <c r="E14" s="341"/>
      <c r="F14" s="341"/>
      <c r="G14" s="341"/>
      <c r="H14" s="341"/>
      <c r="I14" s="384"/>
    </row>
    <row r="15" spans="1:12" ht="18.75" customHeight="1" x14ac:dyDescent="0.3">
      <c r="B15" s="382"/>
      <c r="C15" s="341"/>
      <c r="D15" s="381" t="s">
        <v>421</v>
      </c>
      <c r="E15" s="341"/>
      <c r="F15" s="341"/>
      <c r="G15" s="341"/>
      <c r="H15" s="341"/>
      <c r="I15" s="384"/>
    </row>
    <row r="16" spans="1:12" ht="18.75" customHeight="1" x14ac:dyDescent="0.3">
      <c r="B16" s="382"/>
      <c r="C16" s="341"/>
      <c r="D16" s="381" t="s">
        <v>422</v>
      </c>
      <c r="E16" s="341"/>
      <c r="F16" s="341"/>
      <c r="G16" s="341"/>
      <c r="H16" s="341"/>
      <c r="I16" s="384"/>
    </row>
    <row r="17" spans="2:9" ht="18.75" customHeight="1" x14ac:dyDescent="0.3">
      <c r="B17" s="382"/>
      <c r="C17" s="341"/>
      <c r="D17" s="381" t="s">
        <v>423</v>
      </c>
      <c r="E17" s="341"/>
      <c r="F17" s="341"/>
      <c r="G17" s="341"/>
      <c r="H17" s="341"/>
      <c r="I17" s="384"/>
    </row>
    <row r="18" spans="2:9" ht="18.75" customHeight="1" x14ac:dyDescent="0.3">
      <c r="B18" s="382"/>
      <c r="C18" s="341"/>
      <c r="D18" s="381" t="s">
        <v>424</v>
      </c>
      <c r="E18" s="341"/>
      <c r="F18" s="341"/>
      <c r="G18" s="341"/>
      <c r="H18" s="341"/>
      <c r="I18" s="384"/>
    </row>
    <row r="19" spans="2:9" ht="12" customHeight="1" thickBot="1" x14ac:dyDescent="0.35">
      <c r="B19" s="385"/>
      <c r="C19" s="386"/>
      <c r="D19" s="386"/>
      <c r="E19" s="386"/>
      <c r="F19" s="386"/>
      <c r="G19" s="386"/>
      <c r="H19" s="386"/>
      <c r="I19" s="387"/>
    </row>
    <row r="20" spans="2:9" ht="15" thickBot="1" x14ac:dyDescent="0.35"/>
    <row r="21" spans="2:9" ht="7.95" customHeight="1" x14ac:dyDescent="0.3">
      <c r="B21" s="388"/>
      <c r="C21" s="389"/>
      <c r="D21" s="389"/>
      <c r="E21" s="389"/>
      <c r="F21" s="389"/>
      <c r="G21" s="389"/>
      <c r="H21" s="389"/>
      <c r="I21" s="390"/>
    </row>
    <row r="22" spans="2:9" x14ac:dyDescent="0.3">
      <c r="B22" s="382"/>
      <c r="C22" s="383" t="s">
        <v>406</v>
      </c>
      <c r="D22" s="341"/>
      <c r="E22" s="341"/>
      <c r="F22" s="341"/>
      <c r="G22" s="341"/>
      <c r="H22" s="341"/>
      <c r="I22" s="384"/>
    </row>
    <row r="23" spans="2:9" ht="18.45" customHeight="1" x14ac:dyDescent="0.3">
      <c r="B23" s="382"/>
      <c r="C23" s="341"/>
      <c r="D23" s="340" t="s">
        <v>408</v>
      </c>
      <c r="E23" s="341"/>
      <c r="F23" s="341"/>
      <c r="G23" s="341"/>
      <c r="H23" s="341"/>
      <c r="I23" s="384"/>
    </row>
    <row r="24" spans="2:9" ht="18.45" customHeight="1" x14ac:dyDescent="0.3">
      <c r="B24" s="382"/>
      <c r="C24" s="341"/>
      <c r="D24" s="341" t="s">
        <v>425</v>
      </c>
      <c r="E24" s="341"/>
      <c r="F24" s="341"/>
      <c r="G24" s="341"/>
      <c r="H24" s="341"/>
      <c r="I24" s="384"/>
    </row>
    <row r="25" spans="2:9" ht="18.45" customHeight="1" x14ac:dyDescent="0.3">
      <c r="B25" s="382"/>
      <c r="C25" s="341"/>
      <c r="D25" s="341" t="s">
        <v>410</v>
      </c>
      <c r="E25" s="341"/>
      <c r="F25" s="341"/>
      <c r="G25" s="341"/>
      <c r="H25" s="341"/>
      <c r="I25" s="384"/>
    </row>
    <row r="26" spans="2:9" ht="14.55" customHeight="1" thickBot="1" x14ac:dyDescent="0.35">
      <c r="B26" s="385"/>
      <c r="C26" s="386"/>
      <c r="D26" s="386"/>
      <c r="E26" s="386"/>
      <c r="F26" s="386"/>
      <c r="G26" s="386"/>
      <c r="H26" s="386"/>
      <c r="I26" s="387"/>
    </row>
  </sheetData>
  <sheetProtection algorithmName="SHA-512" hashValue="ozxJIm9NukqNYgSguxM+66P97ayn8If8eo/gQjfxWxHFQAU7JHWu27Y9xonaUrD2QXGupK/b3Co/hXTDiXdYHg==" saltValue="LjVsX8gnXEEuWZN32Na8tw==" spinCount="100000" sheet="1" objects="1" scenarios="1" selectLockedCells="1"/>
  <mergeCells count="3">
    <mergeCell ref="B9:I9"/>
    <mergeCell ref="B6:H6"/>
    <mergeCell ref="B2:H5"/>
  </mergeCells>
  <hyperlinks>
    <hyperlink ref="D23" r:id="rId1" xr:uid="{FB6BEAAC-7DA1-4B74-ABB1-452E68EA3A68}"/>
    <hyperlink ref="D13" location="Definitions!A1" display="Definitions - highlighted definitions for many relevent lighting terms" xr:uid="{D8CE0CE3-8307-48AF-8FDF-39D52C69370E}"/>
    <hyperlink ref="D14" location="Prohibitions!A1" display="Prohibitions -  a list of light fixtures not allowed in the city" xr:uid="{0E32F226-7DEC-4D2F-96F4-F7548A06F587}"/>
    <hyperlink ref="D15" location="'Res Overview'!A1" display="Res Overview - a walkthrough of the Residential Compliance Calculator " xr:uid="{5AC015B1-2FBC-428E-8C49-D3888161350B}"/>
    <hyperlink ref="D16" location="'Res Compliance Calculator'!A1" display="Res Compliance Calculator - the compliance calculator for all residential development" xr:uid="{87711634-1D1A-4EB3-9489-08B009845A60}"/>
    <hyperlink ref="D17" location="'NonRes Overview'!A1" display="NonRes Overview - a walkthrough of the Non-Residential Compliance Calculator" xr:uid="{F950D23A-57EB-4A9D-9728-F60EF6D43AC6}"/>
    <hyperlink ref="D18" location="'NonRes Compliance Calculator'!A1" display="NonRes Compliance Calculator - the compliance calculator for all non-residential development" xr:uid="{4F693E9D-B1F0-44AB-9DC9-F4141284F795}"/>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54D8B-74CE-4076-B25D-5342E5D89175}">
  <dimension ref="B2:C8"/>
  <sheetViews>
    <sheetView showGridLines="0" zoomScaleNormal="100" workbookViewId="0"/>
  </sheetViews>
  <sheetFormatPr defaultRowHeight="14.4" x14ac:dyDescent="0.3"/>
  <cols>
    <col min="1" max="1" width="6" customWidth="1"/>
    <col min="2" max="2" width="33.77734375" customWidth="1"/>
  </cols>
  <sheetData>
    <row r="2" spans="2:3" ht="19.95" customHeight="1" x14ac:dyDescent="0.3">
      <c r="B2" s="100" t="s">
        <v>259</v>
      </c>
      <c r="C2" s="101" t="s">
        <v>260</v>
      </c>
    </row>
    <row r="3" spans="2:3" ht="19.95" customHeight="1" x14ac:dyDescent="0.3">
      <c r="B3" s="100" t="s">
        <v>261</v>
      </c>
      <c r="C3" s="101" t="s">
        <v>262</v>
      </c>
    </row>
    <row r="4" spans="2:3" ht="19.95" customHeight="1" x14ac:dyDescent="0.3">
      <c r="B4" s="100" t="s">
        <v>263</v>
      </c>
      <c r="C4" s="101" t="s">
        <v>264</v>
      </c>
    </row>
    <row r="5" spans="2:3" ht="19.95" customHeight="1" x14ac:dyDescent="0.3">
      <c r="B5" s="100" t="s">
        <v>265</v>
      </c>
      <c r="C5" s="101" t="s">
        <v>266</v>
      </c>
    </row>
    <row r="6" spans="2:3" ht="19.95" customHeight="1" x14ac:dyDescent="0.3">
      <c r="B6" s="100" t="s">
        <v>267</v>
      </c>
      <c r="C6" s="101" t="s">
        <v>270</v>
      </c>
    </row>
    <row r="7" spans="2:3" ht="19.95" customHeight="1" x14ac:dyDescent="0.3">
      <c r="B7" s="100" t="s">
        <v>268</v>
      </c>
      <c r="C7" s="101" t="s">
        <v>271</v>
      </c>
    </row>
    <row r="8" spans="2:3" ht="19.95" customHeight="1" x14ac:dyDescent="0.3">
      <c r="B8" s="100" t="s">
        <v>269</v>
      </c>
      <c r="C8" s="101" t="s">
        <v>272</v>
      </c>
    </row>
  </sheetData>
  <sheetProtection algorithmName="SHA-512" hashValue="QOClriWp/xXG8W4pTnH37/t7MzA0hkX1mLtNXXcqGQDOCoIjnxQ92R2Dt+d3pXXmEk/YeGKhm8w4voABxG98aw==" saltValue="IoT4ZtKSQxuE+ExRzdYjHg==" spinCount="100000" sheet="1" objects="1" scenarios="1" selectLockedCells="1" selectUnlockedCell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3EFBF-C65D-4A02-A3A8-42602260C815}">
  <dimension ref="B1:D21"/>
  <sheetViews>
    <sheetView showGridLines="0" workbookViewId="0">
      <selection activeCell="J10" sqref="J10"/>
    </sheetView>
  </sheetViews>
  <sheetFormatPr defaultColWidth="9.109375" defaultRowHeight="15" x14ac:dyDescent="0.25"/>
  <cols>
    <col min="1" max="1" width="6.33203125" style="25" customWidth="1"/>
    <col min="2" max="2" width="4.33203125" style="25" customWidth="1"/>
    <col min="3" max="3" width="4.5546875" style="25" customWidth="1"/>
    <col min="4" max="16384" width="9.109375" style="25"/>
  </cols>
  <sheetData>
    <row r="1" spans="2:4" ht="25.05" customHeight="1" x14ac:dyDescent="0.25"/>
    <row r="2" spans="2:4" ht="21" customHeight="1" x14ac:dyDescent="0.25">
      <c r="B2" s="103" t="s">
        <v>301</v>
      </c>
      <c r="C2" s="104"/>
    </row>
    <row r="3" spans="2:4" ht="21" customHeight="1" x14ac:dyDescent="0.25">
      <c r="C3" s="103" t="s">
        <v>302</v>
      </c>
    </row>
    <row r="4" spans="2:4" ht="21" customHeight="1" x14ac:dyDescent="0.25">
      <c r="C4" s="103" t="s">
        <v>303</v>
      </c>
    </row>
    <row r="5" spans="2:4" ht="21" customHeight="1" x14ac:dyDescent="0.25">
      <c r="C5" s="105" t="s">
        <v>304</v>
      </c>
    </row>
    <row r="6" spans="2:4" ht="21" customHeight="1" x14ac:dyDescent="0.25">
      <c r="C6" s="105" t="s">
        <v>305</v>
      </c>
    </row>
    <row r="7" spans="2:4" ht="21" customHeight="1" x14ac:dyDescent="0.25">
      <c r="C7" s="105" t="s">
        <v>306</v>
      </c>
    </row>
    <row r="8" spans="2:4" ht="21" customHeight="1" x14ac:dyDescent="0.25">
      <c r="C8" s="105" t="s">
        <v>307</v>
      </c>
    </row>
    <row r="9" spans="2:4" ht="21" customHeight="1" x14ac:dyDescent="0.25">
      <c r="C9" s="103" t="s">
        <v>308</v>
      </c>
    </row>
    <row r="10" spans="2:4" ht="21" customHeight="1" x14ac:dyDescent="0.25">
      <c r="C10" s="103" t="s">
        <v>309</v>
      </c>
    </row>
    <row r="11" spans="2:4" ht="21" customHeight="1" x14ac:dyDescent="0.25">
      <c r="D11" s="103" t="s">
        <v>310</v>
      </c>
    </row>
    <row r="12" spans="2:4" ht="21" customHeight="1" x14ac:dyDescent="0.25">
      <c r="D12" s="105" t="s">
        <v>311</v>
      </c>
    </row>
    <row r="13" spans="2:4" ht="21" customHeight="1" x14ac:dyDescent="0.25">
      <c r="C13" s="105" t="s">
        <v>312</v>
      </c>
    </row>
    <row r="14" spans="2:4" x14ac:dyDescent="0.25">
      <c r="B14" s="105"/>
    </row>
    <row r="15" spans="2:4" x14ac:dyDescent="0.25">
      <c r="B15" s="103" t="s">
        <v>283</v>
      </c>
    </row>
    <row r="17" spans="2:3" x14ac:dyDescent="0.25">
      <c r="B17" s="25" t="s">
        <v>411</v>
      </c>
    </row>
    <row r="18" spans="2:3" x14ac:dyDescent="0.25">
      <c r="C18" s="25" t="s">
        <v>297</v>
      </c>
    </row>
    <row r="19" spans="2:3" x14ac:dyDescent="0.25">
      <c r="C19" s="25" t="s">
        <v>298</v>
      </c>
    </row>
    <row r="20" spans="2:3" x14ac:dyDescent="0.25">
      <c r="C20" s="25" t="s">
        <v>299</v>
      </c>
    </row>
    <row r="21" spans="2:3" x14ac:dyDescent="0.25">
      <c r="C21" s="25" t="s">
        <v>300</v>
      </c>
    </row>
  </sheetData>
  <sheetProtection algorithmName="SHA-512" hashValue="H8Md8S599/r1IOvvZIg4pmk3vMgO9djC+IZqoH6Clv+LXvnj20M18BHnIN2EDe67D5WeFyCxTNe3r+rkUc4v/Q==" saltValue="DpBTlFmvZ+d1RCRKXDTx5g==" spinCount="100000" sheet="1" objects="1" scenarios="1" selectLockedCell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7197D-BD26-449E-83C6-590CB556A6C7}">
  <sheetPr>
    <tabColor rgb="FF00B0F0"/>
    <pageSetUpPr autoPageBreaks="0"/>
  </sheetPr>
  <dimension ref="A1:AG112"/>
  <sheetViews>
    <sheetView showGridLines="0" zoomScale="80" zoomScaleNormal="80" zoomScalePageLayoutView="85" workbookViewId="0">
      <selection activeCell="C12" sqref="C12"/>
    </sheetView>
  </sheetViews>
  <sheetFormatPr defaultColWidth="8.88671875" defaultRowHeight="14.4" x14ac:dyDescent="0.3"/>
  <cols>
    <col min="1" max="1" width="6.21875" style="2" customWidth="1"/>
    <col min="2" max="2" width="3.33203125" style="2" customWidth="1"/>
    <col min="3" max="3" width="32.44140625" style="2" customWidth="1"/>
    <col min="4" max="4" width="47.33203125" style="2" customWidth="1"/>
    <col min="5" max="5" width="22.6640625" style="2" customWidth="1"/>
    <col min="6" max="6" width="19.5546875" style="2" customWidth="1"/>
    <col min="7" max="7" width="17" style="2" customWidth="1"/>
    <col min="8" max="8" width="14.88671875" style="2" customWidth="1"/>
    <col min="9" max="9" width="27.33203125" style="2" customWidth="1"/>
    <col min="10" max="10" width="36.33203125" style="2" customWidth="1"/>
    <col min="11" max="11" width="19.88671875" style="2" customWidth="1"/>
    <col min="12" max="12" width="18.5546875" style="2" customWidth="1"/>
    <col min="13" max="13" width="24.21875" style="3" customWidth="1"/>
    <col min="14" max="14" width="45.33203125" style="3" customWidth="1"/>
    <col min="15" max="15" width="11.6640625" style="3" customWidth="1"/>
    <col min="16" max="16" width="21.5546875" style="3" customWidth="1"/>
    <col min="17" max="17" width="60.109375" style="2" bestFit="1" customWidth="1"/>
    <col min="18" max="18" width="42.44140625" style="2" customWidth="1"/>
    <col min="19" max="19" width="16.33203125" style="2" bestFit="1" customWidth="1"/>
    <col min="20" max="20" width="19" style="2" customWidth="1"/>
    <col min="21" max="21" width="21.5546875" style="2" bestFit="1" customWidth="1"/>
    <col min="22" max="16384" width="8.88671875" style="2"/>
  </cols>
  <sheetData>
    <row r="1" spans="2:33" ht="26.55" customHeight="1" thickBot="1" x14ac:dyDescent="0.35"/>
    <row r="2" spans="2:33" ht="14.55" customHeight="1" x14ac:dyDescent="0.3">
      <c r="B2" s="465" t="s">
        <v>196</v>
      </c>
      <c r="C2" s="466"/>
      <c r="D2" s="466"/>
      <c r="E2" s="466"/>
      <c r="F2" s="466"/>
      <c r="G2" s="466"/>
      <c r="H2" s="467"/>
      <c r="I2" s="127"/>
      <c r="K2" s="127"/>
      <c r="L2" s="127"/>
      <c r="M2" s="127"/>
      <c r="N2" s="127"/>
      <c r="O2" s="127"/>
      <c r="P2" s="127"/>
      <c r="Q2" s="127"/>
      <c r="R2" s="127"/>
      <c r="S2" s="127"/>
      <c r="T2"/>
      <c r="U2" s="127"/>
      <c r="V2" s="127"/>
    </row>
    <row r="3" spans="2:33" ht="22.8" x14ac:dyDescent="0.4">
      <c r="B3" s="468"/>
      <c r="C3" s="469"/>
      <c r="D3" s="469"/>
      <c r="E3" s="469"/>
      <c r="F3" s="469"/>
      <c r="G3" s="469"/>
      <c r="H3" s="470"/>
      <c r="I3" s="128"/>
      <c r="K3" s="128"/>
      <c r="L3" s="128"/>
      <c r="M3" s="128"/>
      <c r="N3" s="128"/>
      <c r="O3" s="128"/>
      <c r="P3" s="128"/>
      <c r="Q3" s="128"/>
      <c r="R3" s="128"/>
      <c r="S3" s="128"/>
      <c r="T3" s="128"/>
      <c r="U3" s="128"/>
      <c r="V3" s="128"/>
    </row>
    <row r="4" spans="2:33" ht="22.8" x14ac:dyDescent="0.4">
      <c r="B4" s="468"/>
      <c r="C4" s="469"/>
      <c r="D4" s="469"/>
      <c r="E4" s="469"/>
      <c r="F4" s="469"/>
      <c r="G4" s="469"/>
      <c r="H4" s="470"/>
      <c r="I4" s="128"/>
      <c r="J4" s="128"/>
      <c r="K4" s="128"/>
      <c r="L4" s="128"/>
      <c r="M4" s="128"/>
      <c r="N4" s="128"/>
      <c r="O4" s="128"/>
      <c r="P4" s="128"/>
      <c r="Q4" s="128"/>
      <c r="R4" s="128"/>
      <c r="S4" s="128"/>
      <c r="T4" s="128"/>
      <c r="U4" s="128"/>
      <c r="V4" s="128"/>
    </row>
    <row r="5" spans="2:33" ht="23.4" thickBot="1" x14ac:dyDescent="0.45">
      <c r="B5" s="471"/>
      <c r="C5" s="472"/>
      <c r="D5" s="472"/>
      <c r="E5" s="472"/>
      <c r="F5" s="472"/>
      <c r="G5" s="472"/>
      <c r="H5" s="473"/>
      <c r="I5" s="128"/>
      <c r="J5" s="128"/>
      <c r="K5" s="128"/>
      <c r="L5" s="128"/>
      <c r="M5" s="128"/>
      <c r="N5" s="128"/>
      <c r="O5" s="128"/>
      <c r="P5" s="128"/>
      <c r="Q5" s="128"/>
      <c r="S5" s="128"/>
      <c r="T5" s="129"/>
      <c r="U5" s="128"/>
      <c r="V5" s="128"/>
    </row>
    <row r="6" spans="2:33" ht="112.05" customHeight="1" thickBot="1" x14ac:dyDescent="0.45">
      <c r="B6" s="130" t="s">
        <v>431</v>
      </c>
      <c r="C6" s="128"/>
      <c r="D6" s="128"/>
      <c r="E6" s="128"/>
      <c r="F6" s="128"/>
      <c r="G6" s="127"/>
      <c r="H6" s="128"/>
      <c r="I6" s="128"/>
      <c r="J6" s="128"/>
      <c r="K6" s="128"/>
      <c r="L6" s="128"/>
      <c r="M6" s="128"/>
      <c r="N6" s="128"/>
      <c r="O6" s="128"/>
      <c r="P6" s="128"/>
      <c r="Q6" s="128"/>
      <c r="R6" s="128"/>
      <c r="S6" s="128"/>
      <c r="T6" s="128"/>
      <c r="U6" s="128"/>
      <c r="V6" s="128"/>
    </row>
    <row r="7" spans="2:33" ht="27" customHeight="1" x14ac:dyDescent="0.3">
      <c r="B7" s="474" t="s">
        <v>84</v>
      </c>
      <c r="C7" s="475"/>
      <c r="D7" s="475"/>
      <c r="E7" s="476" t="s">
        <v>400</v>
      </c>
      <c r="F7" s="477"/>
      <c r="G7" s="477"/>
      <c r="H7" s="477"/>
      <c r="I7" s="477"/>
      <c r="J7" s="478"/>
      <c r="K7" s="131"/>
      <c r="L7" s="131"/>
      <c r="M7" s="131"/>
      <c r="N7" s="131"/>
      <c r="O7" s="131"/>
      <c r="P7" s="131"/>
      <c r="Q7" s="131"/>
      <c r="R7" s="131"/>
      <c r="S7" s="131"/>
      <c r="T7" s="131"/>
      <c r="U7" s="127"/>
      <c r="V7" s="127"/>
      <c r="W7"/>
      <c r="X7" s="132"/>
    </row>
    <row r="8" spans="2:33" ht="27" customHeight="1" x14ac:dyDescent="0.3">
      <c r="B8" s="479" t="s">
        <v>85</v>
      </c>
      <c r="C8" s="480"/>
      <c r="D8" s="480"/>
      <c r="E8" s="481"/>
      <c r="F8" s="481"/>
      <c r="G8" s="481"/>
      <c r="H8" s="481"/>
      <c r="I8" s="481"/>
      <c r="J8" s="482"/>
      <c r="K8" s="131"/>
      <c r="L8" s="131"/>
      <c r="M8" s="131"/>
      <c r="N8" s="131"/>
      <c r="O8" s="131"/>
      <c r="P8" s="131"/>
      <c r="Q8" s="131"/>
      <c r="R8" s="131"/>
      <c r="S8" s="131"/>
      <c r="T8" s="131"/>
      <c r="U8" s="127"/>
      <c r="V8" s="127"/>
      <c r="W8"/>
      <c r="X8" s="132"/>
    </row>
    <row r="9" spans="2:33" ht="27" customHeight="1" x14ac:dyDescent="0.3">
      <c r="B9" s="479" t="s">
        <v>86</v>
      </c>
      <c r="C9" s="480"/>
      <c r="D9" s="480"/>
      <c r="E9" s="483"/>
      <c r="F9" s="483"/>
      <c r="G9" s="483"/>
      <c r="H9" s="483"/>
      <c r="I9" s="483"/>
      <c r="J9" s="484"/>
      <c r="K9" s="131"/>
      <c r="L9" s="131"/>
      <c r="M9" s="131"/>
      <c r="N9" s="131"/>
      <c r="O9" s="131"/>
      <c r="P9" s="131"/>
      <c r="Q9" s="131"/>
      <c r="R9" s="131"/>
      <c r="S9" s="131"/>
      <c r="T9" s="131"/>
      <c r="U9" s="127"/>
      <c r="V9" s="127"/>
    </row>
    <row r="10" spans="2:33" ht="27" customHeight="1" x14ac:dyDescent="0.3">
      <c r="B10" s="479" t="s">
        <v>106</v>
      </c>
      <c r="C10" s="480"/>
      <c r="D10" s="480"/>
      <c r="E10" s="485" t="s">
        <v>403</v>
      </c>
      <c r="F10" s="485"/>
      <c r="G10" s="485"/>
      <c r="H10" s="485"/>
      <c r="I10" s="485"/>
      <c r="J10" s="486"/>
      <c r="K10" s="131"/>
      <c r="L10" s="131"/>
      <c r="M10" s="131"/>
      <c r="N10" s="131"/>
      <c r="O10" s="131"/>
      <c r="P10" s="131"/>
      <c r="Q10" s="131"/>
      <c r="R10" s="131"/>
      <c r="S10" s="131"/>
      <c r="T10" s="131"/>
      <c r="U10" s="127"/>
      <c r="V10" s="127"/>
    </row>
    <row r="11" spans="2:33" ht="27" customHeight="1" thickBot="1" x14ac:dyDescent="0.35">
      <c r="B11" s="487" t="s">
        <v>329</v>
      </c>
      <c r="C11" s="488"/>
      <c r="D11" s="489"/>
      <c r="E11" s="490"/>
      <c r="F11" s="491"/>
      <c r="G11" s="491"/>
      <c r="H11" s="491"/>
      <c r="I11" s="491"/>
      <c r="J11" s="492"/>
      <c r="K11" s="131"/>
      <c r="L11" s="131"/>
      <c r="M11" s="131"/>
      <c r="N11" s="131"/>
      <c r="O11" s="131"/>
      <c r="P11" s="131"/>
      <c r="Q11" s="131"/>
      <c r="R11" s="131"/>
      <c r="S11" s="131"/>
      <c r="T11" s="131"/>
      <c r="U11" s="127"/>
      <c r="V11" s="127"/>
    </row>
    <row r="12" spans="2:33" ht="17.399999999999999" x14ac:dyDescent="0.3">
      <c r="B12" s="133"/>
      <c r="C12"/>
      <c r="D12" s="133"/>
      <c r="E12"/>
      <c r="F12" s="134"/>
      <c r="G12"/>
      <c r="H12"/>
      <c r="I12"/>
      <c r="J12"/>
      <c r="K12"/>
      <c r="L12"/>
      <c r="M12"/>
      <c r="N12"/>
      <c r="O12"/>
      <c r="P12"/>
      <c r="Q12"/>
      <c r="R12"/>
      <c r="S12"/>
      <c r="T12"/>
      <c r="U12" s="127"/>
      <c r="V12" s="127"/>
      <c r="W12"/>
      <c r="X12" s="132"/>
    </row>
    <row r="13" spans="2:33" ht="17.399999999999999" x14ac:dyDescent="0.3">
      <c r="B13" s="135" t="s">
        <v>87</v>
      </c>
      <c r="C13"/>
      <c r="D13" s="133"/>
      <c r="E13"/>
      <c r="F13" s="134"/>
      <c r="G13"/>
      <c r="H13"/>
      <c r="I13"/>
      <c r="J13"/>
      <c r="K13"/>
      <c r="L13"/>
      <c r="M13"/>
      <c r="N13"/>
      <c r="O13"/>
      <c r="P13"/>
      <c r="Q13"/>
      <c r="R13"/>
      <c r="S13"/>
      <c r="T13"/>
      <c r="U13" s="127"/>
      <c r="V13" s="127"/>
      <c r="W13"/>
      <c r="X13" s="132"/>
      <c r="Z13" s="136"/>
      <c r="AA13" s="136"/>
      <c r="AB13" s="136"/>
      <c r="AC13" s="136"/>
      <c r="AD13" s="136"/>
      <c r="AE13" s="136"/>
      <c r="AF13" s="136"/>
      <c r="AG13" s="136"/>
    </row>
    <row r="14" spans="2:33" ht="17.399999999999999" x14ac:dyDescent="0.3">
      <c r="B14" s="135" t="s">
        <v>181</v>
      </c>
      <c r="C14"/>
      <c r="D14" s="133"/>
      <c r="E14"/>
      <c r="F14" s="134"/>
      <c r="G14"/>
      <c r="H14"/>
      <c r="I14"/>
      <c r="J14"/>
      <c r="K14"/>
      <c r="L14"/>
      <c r="M14"/>
      <c r="N14"/>
      <c r="O14"/>
      <c r="P14"/>
      <c r="Q14"/>
      <c r="R14"/>
      <c r="S14"/>
      <c r="T14"/>
      <c r="U14" s="127"/>
      <c r="V14" s="127"/>
      <c r="W14"/>
      <c r="X14" s="132"/>
      <c r="Z14" s="136"/>
      <c r="AA14" s="136"/>
      <c r="AB14" s="136"/>
      <c r="AC14" s="136"/>
      <c r="AD14" s="136"/>
      <c r="AE14" s="136"/>
      <c r="AF14" s="136"/>
      <c r="AG14" s="136"/>
    </row>
    <row r="15" spans="2:33" ht="17.399999999999999" x14ac:dyDescent="0.3">
      <c r="B15" s="135" t="s">
        <v>273</v>
      </c>
      <c r="C15"/>
      <c r="D15" s="133"/>
      <c r="E15"/>
      <c r="F15" s="134"/>
      <c r="G15"/>
      <c r="H15"/>
      <c r="I15"/>
      <c r="J15"/>
      <c r="K15"/>
      <c r="L15"/>
      <c r="M15"/>
      <c r="N15"/>
      <c r="O15"/>
      <c r="P15"/>
      <c r="Q15"/>
      <c r="R15"/>
      <c r="S15"/>
      <c r="T15"/>
      <c r="U15" s="127"/>
      <c r="V15" s="127"/>
      <c r="W15"/>
      <c r="X15" s="132"/>
      <c r="Z15" s="136"/>
      <c r="AA15" s="136"/>
      <c r="AB15" s="136"/>
      <c r="AC15" s="136"/>
      <c r="AD15" s="136"/>
      <c r="AE15" s="136"/>
      <c r="AF15" s="136"/>
      <c r="AG15" s="136"/>
    </row>
    <row r="16" spans="2:33" ht="17.399999999999999" x14ac:dyDescent="0.3">
      <c r="B16" s="130">
        <v>1</v>
      </c>
      <c r="C16" s="25" t="s">
        <v>325</v>
      </c>
      <c r="D16" s="133"/>
      <c r="E16"/>
      <c r="F16" s="134"/>
      <c r="G16"/>
      <c r="H16"/>
      <c r="I16"/>
      <c r="J16"/>
      <c r="K16"/>
      <c r="M16"/>
      <c r="N16"/>
      <c r="O16"/>
      <c r="P16"/>
      <c r="Q16"/>
      <c r="R16"/>
      <c r="S16"/>
      <c r="T16"/>
      <c r="U16" s="127"/>
      <c r="V16" s="127"/>
      <c r="W16"/>
      <c r="X16" s="132"/>
      <c r="Z16" s="136"/>
      <c r="AA16" s="136"/>
      <c r="AB16" s="136"/>
      <c r="AC16" s="136"/>
      <c r="AD16" s="136"/>
      <c r="AE16" s="136"/>
      <c r="AF16" s="136"/>
      <c r="AG16" s="136"/>
    </row>
    <row r="17" spans="2:33" ht="18" customHeight="1" x14ac:dyDescent="0.3">
      <c r="B17" s="133">
        <v>2</v>
      </c>
      <c r="C17" s="137" t="s">
        <v>326</v>
      </c>
      <c r="D17" s="133"/>
      <c r="E17"/>
      <c r="F17"/>
      <c r="G17"/>
      <c r="H17"/>
      <c r="I17"/>
      <c r="J17"/>
      <c r="K17"/>
      <c r="M17"/>
      <c r="N17"/>
      <c r="O17"/>
      <c r="P17"/>
      <c r="Q17"/>
      <c r="R17"/>
      <c r="S17"/>
      <c r="T17"/>
      <c r="U17" s="127"/>
      <c r="V17" s="127"/>
      <c r="W17"/>
      <c r="X17" s="132"/>
      <c r="Z17" s="136"/>
      <c r="AA17" s="136"/>
      <c r="AB17" s="136"/>
      <c r="AC17" s="136"/>
      <c r="AD17" s="136"/>
      <c r="AE17" s="136"/>
      <c r="AF17" s="136"/>
      <c r="AG17" s="136"/>
    </row>
    <row r="18" spans="2:33" ht="18" customHeight="1" x14ac:dyDescent="0.3">
      <c r="B18" s="133">
        <v>3</v>
      </c>
      <c r="C18" s="137" t="s">
        <v>402</v>
      </c>
      <c r="D18" s="133"/>
      <c r="E18"/>
      <c r="F18"/>
      <c r="G18"/>
      <c r="H18"/>
      <c r="I18"/>
      <c r="J18"/>
      <c r="K18"/>
      <c r="L18"/>
      <c r="M18"/>
      <c r="N18"/>
      <c r="O18"/>
      <c r="P18"/>
      <c r="Q18"/>
      <c r="R18"/>
      <c r="S18"/>
      <c r="T18"/>
      <c r="U18" s="127"/>
      <c r="V18" s="127"/>
      <c r="W18"/>
      <c r="X18" s="132"/>
      <c r="Z18" s="136"/>
      <c r="AA18" s="136"/>
      <c r="AB18" s="136"/>
      <c r="AC18" s="136"/>
      <c r="AD18" s="136"/>
      <c r="AE18" s="136"/>
      <c r="AF18" s="136"/>
      <c r="AG18" s="136"/>
    </row>
    <row r="19" spans="2:33" ht="17.399999999999999" x14ac:dyDescent="0.3">
      <c r="B19" s="133"/>
      <c r="C19" s="493" t="s">
        <v>258</v>
      </c>
      <c r="D19" s="494"/>
      <c r="E19" s="494"/>
      <c r="F19" s="494"/>
      <c r="G19" s="494"/>
      <c r="H19" s="494"/>
      <c r="I19" s="1"/>
      <c r="J19" s="1"/>
      <c r="K19"/>
      <c r="L19"/>
      <c r="M19"/>
      <c r="N19"/>
      <c r="O19"/>
      <c r="P19"/>
      <c r="Q19"/>
      <c r="R19"/>
      <c r="S19"/>
      <c r="T19"/>
      <c r="U19" s="127"/>
      <c r="V19" s="127"/>
      <c r="W19"/>
      <c r="X19" s="132"/>
      <c r="Z19" s="136"/>
      <c r="AA19" s="136"/>
      <c r="AB19" s="136"/>
      <c r="AC19" s="136"/>
      <c r="AD19" s="136"/>
      <c r="AE19" s="136"/>
      <c r="AF19" s="136"/>
      <c r="AG19" s="136"/>
    </row>
    <row r="20" spans="2:33" ht="52.2" customHeight="1" x14ac:dyDescent="0.3">
      <c r="B20" s="133"/>
      <c r="C20" s="494"/>
      <c r="D20" s="494"/>
      <c r="E20" s="494"/>
      <c r="F20" s="494"/>
      <c r="G20" s="494"/>
      <c r="H20" s="494"/>
      <c r="I20" s="1"/>
      <c r="J20" s="1"/>
      <c r="K20"/>
      <c r="L20"/>
      <c r="M20"/>
      <c r="N20"/>
      <c r="O20"/>
      <c r="P20"/>
      <c r="Q20"/>
      <c r="R20"/>
      <c r="S20"/>
      <c r="T20"/>
      <c r="U20" s="127"/>
      <c r="V20" s="127"/>
      <c r="W20"/>
      <c r="X20" s="132"/>
      <c r="Z20" s="136"/>
      <c r="AA20" s="136"/>
      <c r="AB20" s="136"/>
      <c r="AC20" s="136"/>
      <c r="AD20" s="136"/>
      <c r="AE20" s="136"/>
      <c r="AF20" s="136"/>
      <c r="AG20" s="136"/>
    </row>
    <row r="21" spans="2:33" ht="18" customHeight="1" x14ac:dyDescent="0.3">
      <c r="B21" s="133">
        <v>4</v>
      </c>
      <c r="C21" s="137" t="s">
        <v>107</v>
      </c>
      <c r="D21" s="133"/>
      <c r="E21"/>
      <c r="F21"/>
      <c r="G21"/>
      <c r="H21"/>
      <c r="I21"/>
      <c r="J21"/>
      <c r="K21"/>
      <c r="L21"/>
      <c r="M21"/>
      <c r="N21"/>
      <c r="O21"/>
      <c r="P21"/>
      <c r="Q21"/>
      <c r="R21"/>
      <c r="S21"/>
      <c r="T21"/>
      <c r="U21" s="127"/>
      <c r="V21" s="127"/>
      <c r="W21"/>
      <c r="X21" s="132"/>
      <c r="Z21" s="136"/>
      <c r="AA21" s="136"/>
      <c r="AB21" s="136"/>
      <c r="AC21" s="136"/>
      <c r="AD21" s="136"/>
      <c r="AE21" s="136"/>
      <c r="AF21" s="136"/>
      <c r="AG21" s="136"/>
    </row>
    <row r="22" spans="2:33" ht="18" customHeight="1" x14ac:dyDescent="0.3">
      <c r="B22" s="133"/>
      <c r="C22" s="137"/>
      <c r="D22" s="133"/>
      <c r="E22"/>
      <c r="F22"/>
      <c r="G22"/>
      <c r="H22"/>
      <c r="I22"/>
      <c r="J22"/>
      <c r="K22"/>
      <c r="L22"/>
      <c r="M22"/>
      <c r="N22"/>
      <c r="O22"/>
      <c r="P22"/>
      <c r="Q22"/>
      <c r="R22"/>
      <c r="S22"/>
      <c r="T22"/>
      <c r="U22" s="127"/>
      <c r="V22" s="127"/>
      <c r="W22"/>
      <c r="X22" s="132"/>
      <c r="Z22" s="136"/>
      <c r="AA22" s="136"/>
      <c r="AB22" s="136"/>
      <c r="AC22" s="136"/>
      <c r="AD22" s="136"/>
      <c r="AE22" s="136"/>
      <c r="AF22" s="136"/>
      <c r="AG22" s="136"/>
    </row>
    <row r="23" spans="2:33" ht="62.55" customHeight="1" thickBot="1" x14ac:dyDescent="0.35">
      <c r="B23" s="138"/>
      <c r="C23" s="463" t="s">
        <v>373</v>
      </c>
      <c r="D23" s="464"/>
      <c r="E23" s="464"/>
      <c r="F23" s="464"/>
      <c r="G23" s="464"/>
      <c r="H23" s="139"/>
      <c r="I23" s="139"/>
      <c r="J23" s="140"/>
      <c r="K23" s="140"/>
      <c r="L23" s="140"/>
      <c r="M23" s="140"/>
      <c r="N23" s="140"/>
      <c r="O23" s="140"/>
      <c r="P23" s="140"/>
      <c r="Q23" s="141"/>
      <c r="R23" s="141"/>
      <c r="S23" s="141"/>
      <c r="T23" s="142"/>
      <c r="U23" s="127"/>
      <c r="V23" s="127"/>
      <c r="W23"/>
      <c r="X23" s="132"/>
      <c r="Z23" s="136"/>
      <c r="AA23" s="136"/>
      <c r="AB23" s="136"/>
      <c r="AC23" s="136"/>
      <c r="AD23" s="136"/>
      <c r="AE23" s="136"/>
      <c r="AF23" s="136"/>
      <c r="AG23" s="136"/>
    </row>
    <row r="24" spans="2:33" ht="18" customHeight="1" thickTop="1" x14ac:dyDescent="0.3">
      <c r="B24" s="133"/>
      <c r="C24" s="134"/>
      <c r="D24" s="133"/>
      <c r="E24"/>
      <c r="F24"/>
      <c r="G24"/>
      <c r="H24"/>
      <c r="I24"/>
      <c r="J24"/>
      <c r="K24"/>
      <c r="L24"/>
      <c r="M24"/>
      <c r="N24"/>
      <c r="O24"/>
      <c r="P24"/>
      <c r="Q24"/>
      <c r="R24"/>
      <c r="S24"/>
      <c r="T24"/>
      <c r="U24" s="127"/>
      <c r="V24" s="127"/>
      <c r="AC24" s="136"/>
      <c r="AD24" s="136"/>
      <c r="AE24" s="136"/>
      <c r="AF24" s="136"/>
      <c r="AG24" s="136"/>
    </row>
    <row r="25" spans="2:33" ht="15" customHeight="1" thickBot="1" x14ac:dyDescent="0.35">
      <c r="B25" s="443" t="s">
        <v>183</v>
      </c>
      <c r="C25" s="443"/>
      <c r="AC25" s="136"/>
      <c r="AD25" s="136"/>
      <c r="AE25" s="136"/>
      <c r="AF25" s="136"/>
      <c r="AG25" s="136"/>
    </row>
    <row r="26" spans="2:33" ht="15.75" customHeight="1" x14ac:dyDescent="0.3">
      <c r="C26" s="143" t="s">
        <v>124</v>
      </c>
      <c r="D26" s="221" t="s">
        <v>123</v>
      </c>
      <c r="E26" s="144" t="s">
        <v>69</v>
      </c>
      <c r="K26" s="145" t="s">
        <v>82</v>
      </c>
      <c r="L26" s="146"/>
      <c r="M26" s="147"/>
      <c r="N26" s="148"/>
      <c r="O26" s="11"/>
      <c r="P26" s="11"/>
      <c r="Q26" s="11"/>
      <c r="R26" s="11"/>
      <c r="S26" s="3"/>
    </row>
    <row r="27" spans="2:33" ht="33" customHeight="1" x14ac:dyDescent="0.3">
      <c r="C27" s="222" t="s">
        <v>1</v>
      </c>
      <c r="D27" s="342" t="s">
        <v>28</v>
      </c>
      <c r="E27" s="224"/>
      <c r="K27" s="149"/>
      <c r="L27" s="444" t="s">
        <v>160</v>
      </c>
      <c r="M27" s="445"/>
      <c r="N27" s="446"/>
      <c r="O27" s="11"/>
      <c r="P27" s="11"/>
      <c r="Q27" s="11"/>
      <c r="R27" s="11"/>
      <c r="S27" s="3"/>
    </row>
    <row r="28" spans="2:33" ht="33" customHeight="1" x14ac:dyDescent="0.3">
      <c r="B28" s="3"/>
      <c r="C28" s="225" t="s">
        <v>97</v>
      </c>
      <c r="D28" s="342" t="s">
        <v>114</v>
      </c>
      <c r="E28" s="224"/>
      <c r="K28" s="150"/>
      <c r="L28" s="447" t="s">
        <v>161</v>
      </c>
      <c r="M28" s="448"/>
      <c r="N28" s="449"/>
      <c r="O28" s="11"/>
      <c r="P28" s="11"/>
      <c r="Q28" s="11"/>
      <c r="R28" s="3"/>
      <c r="S28" s="3"/>
    </row>
    <row r="29" spans="2:33" ht="33" customHeight="1" x14ac:dyDescent="0.4">
      <c r="B29" s="3"/>
      <c r="C29" s="222" t="s">
        <v>2</v>
      </c>
      <c r="D29" s="269" t="str">
        <f>VLOOKUP(D27,'Ref - Zone Districts'!B3:D31,2,FALSE)</f>
        <v>LZ1</v>
      </c>
      <c r="E29" s="224"/>
      <c r="K29" s="151"/>
      <c r="L29" s="444" t="s">
        <v>83</v>
      </c>
      <c r="M29" s="445"/>
      <c r="N29" s="446"/>
      <c r="O29" s="11"/>
      <c r="P29" s="11"/>
      <c r="Q29" s="11"/>
      <c r="R29" s="3"/>
      <c r="S29" s="3"/>
    </row>
    <row r="30" spans="2:33" ht="33" customHeight="1" x14ac:dyDescent="0.3">
      <c r="B30" s="3"/>
      <c r="C30" s="222" t="s">
        <v>192</v>
      </c>
      <c r="D30" s="268">
        <f>VLOOKUP(D29,'Res - Ordinance Values'!B2:C6,2,FALSE)</f>
        <v>0.1</v>
      </c>
      <c r="E30" s="224" t="s">
        <v>89</v>
      </c>
      <c r="K30" s="152"/>
      <c r="L30" s="444" t="s">
        <v>91</v>
      </c>
      <c r="M30" s="445"/>
      <c r="N30" s="446"/>
      <c r="O30" s="2"/>
      <c r="P30" s="2"/>
      <c r="S30" s="11"/>
      <c r="Y30" s="136"/>
      <c r="Z30" s="136"/>
    </row>
    <row r="31" spans="2:33" ht="44.55" customHeight="1" x14ac:dyDescent="0.25">
      <c r="B31" s="3"/>
      <c r="C31" s="226" t="s">
        <v>167</v>
      </c>
      <c r="D31" s="343" t="s">
        <v>170</v>
      </c>
      <c r="E31" s="224"/>
      <c r="K31" s="153"/>
      <c r="L31" s="444" t="s">
        <v>92</v>
      </c>
      <c r="M31" s="450"/>
      <c r="N31" s="451"/>
      <c r="O31" s="2"/>
      <c r="P31" s="2"/>
      <c r="R31" s="3"/>
      <c r="S31" s="11"/>
      <c r="Y31" s="136"/>
      <c r="Z31" s="136"/>
    </row>
    <row r="32" spans="2:33" ht="33" customHeight="1" thickBot="1" x14ac:dyDescent="0.35">
      <c r="B32" s="3"/>
      <c r="C32" s="226" t="s">
        <v>172</v>
      </c>
      <c r="D32" s="268" t="str">
        <f>IF(OR(D31='Res - Ordinance Values'!B56,AND(D31='Res - Ordinance Values'!B57,(SUMIF(Project_Info23[Proposed/Existing],"Proposed",Project_Info23[Total Lumens])/('Res Compliance Calculator'!D70)&lt;0.4))),"No","Yes")</f>
        <v>No</v>
      </c>
      <c r="E32" s="224"/>
      <c r="K32" s="154" t="s">
        <v>179</v>
      </c>
      <c r="L32" s="452" t="s">
        <v>180</v>
      </c>
      <c r="M32" s="452"/>
      <c r="N32" s="453"/>
      <c r="O32" s="2"/>
      <c r="P32" s="2"/>
      <c r="Y32" s="136"/>
      <c r="Z32" s="136"/>
    </row>
    <row r="33" spans="1:26" ht="33" customHeight="1" thickBot="1" x14ac:dyDescent="0.35">
      <c r="B33" s="3"/>
      <c r="C33" s="222" t="s">
        <v>276</v>
      </c>
      <c r="D33" s="269" t="s">
        <v>96</v>
      </c>
      <c r="E33" s="224" t="s">
        <v>90</v>
      </c>
      <c r="M33" s="2"/>
      <c r="N33" s="2"/>
      <c r="O33"/>
      <c r="P33"/>
      <c r="Q33"/>
      <c r="R33"/>
      <c r="S33"/>
      <c r="Y33" s="136"/>
      <c r="Z33" s="136"/>
    </row>
    <row r="34" spans="1:26" ht="33" customHeight="1" x14ac:dyDescent="0.3">
      <c r="B34" s="3"/>
      <c r="C34" s="228" t="s">
        <v>68</v>
      </c>
      <c r="D34" s="344">
        <v>3000</v>
      </c>
      <c r="E34" s="224" t="s">
        <v>5</v>
      </c>
      <c r="K34" s="454" t="s">
        <v>257</v>
      </c>
      <c r="L34" s="457" t="s">
        <v>388</v>
      </c>
      <c r="M34" s="459" t="s">
        <v>105</v>
      </c>
      <c r="N34" s="460" t="s">
        <v>389</v>
      </c>
      <c r="O34" s="438" t="str">
        <f>IF(L34="TEMP PASS","City of Aspen Land Use Code requires all fixtures, including existing or current, to comply with this new lighting code by November 2028. Your current lighting plan leaves fixtures remaining that will be illegal on this date.","")</f>
        <v/>
      </c>
      <c r="P34" s="439"/>
      <c r="Q34" s="439"/>
      <c r="R34" s="439"/>
      <c r="S34" s="439"/>
      <c r="Y34" s="136"/>
      <c r="Z34" s="136"/>
    </row>
    <row r="35" spans="1:26" ht="33" customHeight="1" x14ac:dyDescent="0.3">
      <c r="B35" s="3"/>
      <c r="C35" s="228" t="s">
        <v>256</v>
      </c>
      <c r="D35" s="342">
        <v>1</v>
      </c>
      <c r="E35" s="224" t="s">
        <v>69</v>
      </c>
      <c r="K35" s="455"/>
      <c r="L35" s="430"/>
      <c r="M35" s="429"/>
      <c r="N35" s="461"/>
      <c r="O35" s="438"/>
      <c r="P35" s="439"/>
      <c r="Q35" s="439"/>
      <c r="R35" s="439"/>
      <c r="S35" s="439"/>
      <c r="Y35" s="136"/>
      <c r="Z35" s="136"/>
    </row>
    <row r="36" spans="1:26" ht="42.75" customHeight="1" x14ac:dyDescent="0.3">
      <c r="B36" s="3"/>
      <c r="C36" s="226" t="s">
        <v>166</v>
      </c>
      <c r="D36" s="345"/>
      <c r="E36" s="224" t="s">
        <v>8</v>
      </c>
      <c r="K36" s="455"/>
      <c r="L36" s="429"/>
      <c r="M36" s="429"/>
      <c r="N36" s="461"/>
      <c r="O36" s="438"/>
      <c r="P36" s="439"/>
      <c r="Q36" s="439"/>
      <c r="R36" s="439"/>
      <c r="S36" s="439"/>
      <c r="Y36" s="136"/>
      <c r="Z36" s="136"/>
    </row>
    <row r="37" spans="1:26" ht="33" customHeight="1" thickBot="1" x14ac:dyDescent="0.35">
      <c r="B37" s="3"/>
      <c r="C37" s="226" t="s">
        <v>274</v>
      </c>
      <c r="D37" s="342">
        <v>0.1</v>
      </c>
      <c r="E37" s="224" t="s">
        <v>89</v>
      </c>
      <c r="K37" s="456"/>
      <c r="L37" s="458"/>
      <c r="M37" s="458"/>
      <c r="N37" s="462"/>
      <c r="O37" s="438"/>
      <c r="P37" s="439"/>
      <c r="Q37" s="439"/>
      <c r="R37" s="439"/>
      <c r="S37" s="439"/>
    </row>
    <row r="38" spans="1:26" ht="115.95" customHeight="1" thickBot="1" x14ac:dyDescent="0.35">
      <c r="B38" s="3"/>
      <c r="C38" s="226" t="s">
        <v>277</v>
      </c>
      <c r="D38" s="269"/>
      <c r="E38" s="224"/>
      <c r="K38" s="440" t="s">
        <v>197</v>
      </c>
      <c r="L38" s="441"/>
      <c r="M38" s="441"/>
      <c r="N38" s="442"/>
      <c r="O38" s="438"/>
      <c r="P38" s="439"/>
      <c r="Q38" s="439"/>
      <c r="R38" s="439"/>
      <c r="S38" s="439"/>
    </row>
    <row r="39" spans="1:26" ht="119.55" customHeight="1" x14ac:dyDescent="0.3">
      <c r="B39" s="3"/>
      <c r="C39" s="230" t="s">
        <v>275</v>
      </c>
      <c r="D39" s="156"/>
      <c r="E39" s="224"/>
      <c r="G39" s="11"/>
      <c r="H39" s="11"/>
      <c r="I39" s="11"/>
      <c r="K39" s="105"/>
      <c r="L39" s="155"/>
      <c r="M39" s="155"/>
      <c r="O39" s="155"/>
      <c r="P39" s="2"/>
    </row>
    <row r="40" spans="1:26" ht="59.55" customHeight="1" thickBot="1" x14ac:dyDescent="0.35">
      <c r="A40" s="328"/>
      <c r="B40" s="328"/>
      <c r="C40" s="328"/>
      <c r="D40" s="328"/>
      <c r="E40" s="328"/>
      <c r="F40" s="328"/>
      <c r="G40" s="328"/>
      <c r="H40" s="328"/>
      <c r="I40" s="328"/>
      <c r="J40" s="328"/>
      <c r="K40" s="328"/>
      <c r="L40" s="328"/>
      <c r="M40" s="328"/>
      <c r="N40" s="328"/>
      <c r="O40" s="328"/>
      <c r="P40" s="328"/>
      <c r="Q40" s="328"/>
      <c r="R40" s="328"/>
      <c r="S40" s="328"/>
      <c r="T40" s="328"/>
    </row>
    <row r="41" spans="1:26" ht="31.05" customHeight="1" thickTop="1" x14ac:dyDescent="0.3">
      <c r="B41" s="431" t="s">
        <v>316</v>
      </c>
      <c r="C41" s="431"/>
      <c r="L41" s="3"/>
    </row>
    <row r="42" spans="1:26" ht="49.95" customHeight="1" x14ac:dyDescent="0.3">
      <c r="B42" s="157"/>
      <c r="C42" s="432" t="s">
        <v>331</v>
      </c>
      <c r="D42" s="429"/>
      <c r="E42" s="429"/>
      <c r="F42" s="429"/>
      <c r="G42" s="429"/>
      <c r="H42" s="429"/>
      <c r="L42" s="3"/>
    </row>
    <row r="43" spans="1:26" x14ac:dyDescent="0.3">
      <c r="B43" s="157"/>
      <c r="C43" s="156" t="s">
        <v>132</v>
      </c>
      <c r="L43" s="3"/>
    </row>
    <row r="44" spans="1:26" x14ac:dyDescent="0.3">
      <c r="B44" s="157"/>
      <c r="C44" s="156" t="s">
        <v>162</v>
      </c>
      <c r="L44" s="3"/>
    </row>
    <row r="45" spans="1:26" x14ac:dyDescent="0.3">
      <c r="B45" s="157"/>
      <c r="C45" s="433" t="s">
        <v>184</v>
      </c>
      <c r="D45" s="433"/>
      <c r="E45" s="433"/>
      <c r="F45" s="433"/>
      <c r="G45" s="433"/>
      <c r="H45" s="433"/>
      <c r="L45" s="3"/>
    </row>
    <row r="46" spans="1:26" x14ac:dyDescent="0.3">
      <c r="B46" s="157"/>
      <c r="C46" s="433"/>
      <c r="D46" s="433"/>
      <c r="E46" s="433"/>
      <c r="F46" s="433"/>
      <c r="G46" s="433"/>
      <c r="H46" s="433"/>
      <c r="L46" s="3"/>
    </row>
    <row r="47" spans="1:26" ht="35.549999999999997" customHeight="1" x14ac:dyDescent="0.3">
      <c r="B47" s="157"/>
      <c r="C47" s="433"/>
      <c r="D47" s="433"/>
      <c r="E47" s="433"/>
      <c r="F47" s="433"/>
      <c r="G47" s="433"/>
      <c r="H47" s="433"/>
    </row>
    <row r="48" spans="1:26" ht="28.5" customHeight="1" x14ac:dyDescent="0.3">
      <c r="B48" s="157"/>
      <c r="C48" s="433" t="s">
        <v>281</v>
      </c>
      <c r="D48" s="433"/>
      <c r="E48" s="11"/>
      <c r="F48" s="11"/>
      <c r="G48" s="11"/>
      <c r="H48" s="11"/>
    </row>
    <row r="49" spans="1:20" ht="106.2" customHeight="1" x14ac:dyDescent="0.3">
      <c r="B49" s="157"/>
      <c r="C49" s="157"/>
    </row>
    <row r="50" spans="1:20" s="11" customFormat="1" ht="45" customHeight="1" x14ac:dyDescent="0.3">
      <c r="B50" s="158"/>
      <c r="C50" s="32" t="s">
        <v>163</v>
      </c>
      <c r="D50" s="31" t="s">
        <v>333</v>
      </c>
      <c r="E50" s="31" t="s">
        <v>195</v>
      </c>
      <c r="F50" s="32" t="s">
        <v>3</v>
      </c>
      <c r="G50" s="32" t="s">
        <v>4</v>
      </c>
      <c r="H50" s="32" t="s">
        <v>6</v>
      </c>
      <c r="I50" s="32" t="s">
        <v>9</v>
      </c>
      <c r="J50" s="32" t="s">
        <v>148</v>
      </c>
      <c r="K50" s="32" t="s">
        <v>153</v>
      </c>
      <c r="L50" s="32" t="s">
        <v>152</v>
      </c>
      <c r="M50" s="32" t="s">
        <v>246</v>
      </c>
      <c r="N50" s="159" t="s">
        <v>70</v>
      </c>
    </row>
    <row r="51" spans="1:20" ht="33" customHeight="1" x14ac:dyDescent="0.3">
      <c r="B51" s="3"/>
      <c r="C51" s="346" t="s">
        <v>381</v>
      </c>
      <c r="D51" s="347" t="s">
        <v>130</v>
      </c>
      <c r="E51" s="347" t="s">
        <v>186</v>
      </c>
      <c r="F51" s="348">
        <v>450</v>
      </c>
      <c r="G51" s="349">
        <v>1</v>
      </c>
      <c r="H51" s="298">
        <f>Project_Info23[[#This Row],[Quantity]]*Project_Info23[[#This Row],[Lumens]]</f>
        <v>450</v>
      </c>
      <c r="I51" s="350">
        <v>3000</v>
      </c>
      <c r="J51" s="349" t="s">
        <v>202</v>
      </c>
      <c r="K51" s="299" t="str">
        <f>IF(OR(Project_Info23[[#This Row],[Mounting Type Fixture/Application]]=0,Project_Info23[[#This Row],[Mounting Type Fixture/Application]]="Choose from dropdown"),"",VLOOKUP(Project_Info23[[#This Row],[Mounting Type Fixture/Application]],'Res - Ordinance Values'!$B$9:$C$20,2,FALSE))</f>
        <v>Does not apply</v>
      </c>
      <c r="L51" s="349">
        <v>8</v>
      </c>
      <c r="M51" s="277" t="s">
        <v>394</v>
      </c>
      <c r="N51" s="300" t="s">
        <v>429</v>
      </c>
      <c r="O51" s="2"/>
      <c r="P51" s="2"/>
    </row>
    <row r="52" spans="1:20" x14ac:dyDescent="0.3">
      <c r="C52" s="346" t="s">
        <v>382</v>
      </c>
      <c r="D52" s="347" t="s">
        <v>73</v>
      </c>
      <c r="E52" s="347" t="s">
        <v>186</v>
      </c>
      <c r="F52" s="348">
        <v>350</v>
      </c>
      <c r="G52" s="349">
        <v>1</v>
      </c>
      <c r="H52" s="298">
        <f>Project_Info23[[#This Row],[Quantity]]*Project_Info23[[#This Row],[Lumens]]</f>
        <v>350</v>
      </c>
      <c r="I52" s="350">
        <v>2700</v>
      </c>
      <c r="J52" s="349" t="s">
        <v>366</v>
      </c>
      <c r="K52" s="299" t="str">
        <f>IF(OR(Project_Info23[[#This Row],[Mounting Type Fixture/Application]]=0,Project_Info23[[#This Row],[Mounting Type Fixture/Application]]="Choose from dropdown"),"",VLOOKUP(Project_Info23[[#This Row],[Mounting Type Fixture/Application]],'Res - Ordinance Values'!$B$9:$C$20,2,FALSE))</f>
        <v>Does not apply</v>
      </c>
      <c r="L52" s="349">
        <v>11</v>
      </c>
      <c r="M52" s="277" t="s">
        <v>394</v>
      </c>
      <c r="N52" s="300" t="str">
        <f>_xlfn.IFNA(_xlfn.TEXTJOIN(" ",TRUE,'Res - Proposed Fixture analysis'!E7,'Res - Proposed Fixture analysis'!F7,'Res - Proposed Fixture analysis'!H7,'Res - Proposed Fixture analysis'!I7,'Res - Proposed Fixture analysis'!J7,'Res - Proposed Fixture analysis'!L7)&amp;".","")</f>
        <v>.</v>
      </c>
      <c r="O52" s="2"/>
      <c r="P52" s="2"/>
    </row>
    <row r="53" spans="1:20" x14ac:dyDescent="0.3">
      <c r="C53" s="346" t="s">
        <v>383</v>
      </c>
      <c r="D53" s="347" t="s">
        <v>130</v>
      </c>
      <c r="E53" s="347" t="s">
        <v>187</v>
      </c>
      <c r="F53" s="348">
        <v>450</v>
      </c>
      <c r="G53" s="349">
        <v>3</v>
      </c>
      <c r="H53" s="298">
        <f>Project_Info23[[#This Row],[Quantity]]*Project_Info23[[#This Row],[Lumens]]</f>
        <v>1350</v>
      </c>
      <c r="I53" s="350">
        <v>3000</v>
      </c>
      <c r="J53" s="349" t="s">
        <v>361</v>
      </c>
      <c r="K53" s="299" t="str">
        <f>IF(OR(Project_Info23[[#This Row],[Mounting Type Fixture/Application]]=0,Project_Info23[[#This Row],[Mounting Type Fixture/Application]]="Choose from dropdown"),"",VLOOKUP(Project_Info23[[#This Row],[Mounting Type Fixture/Application]],'Res - Ordinance Values'!$B$9:$C$20,2,FALSE))</f>
        <v>Does not apply</v>
      </c>
      <c r="L53" s="349">
        <v>10</v>
      </c>
      <c r="M53" s="277" t="s">
        <v>187</v>
      </c>
      <c r="N53" s="300" t="str">
        <f>_xlfn.IFNA(_xlfn.TEXTJOIN(" ",TRUE,'Res - Proposed Fixture analysis'!E8,'Res - Proposed Fixture analysis'!F8,'Res - Proposed Fixture analysis'!H8,'Res - Proposed Fixture analysis'!I8,'Res - Proposed Fixture analysis'!J8,'Res - Proposed Fixture analysis'!L8)&amp;".","")</f>
        <v>.</v>
      </c>
      <c r="O53" s="2"/>
      <c r="P53" s="2"/>
    </row>
    <row r="54" spans="1:20" x14ac:dyDescent="0.3">
      <c r="C54" s="346" t="s">
        <v>384</v>
      </c>
      <c r="D54" s="347" t="s">
        <v>130</v>
      </c>
      <c r="E54" s="347" t="s">
        <v>187</v>
      </c>
      <c r="F54" s="348">
        <v>300</v>
      </c>
      <c r="G54" s="349">
        <v>5</v>
      </c>
      <c r="H54" s="298">
        <f>Project_Info23[[#This Row],[Quantity]]*Project_Info23[[#This Row],[Lumens]]</f>
        <v>1500</v>
      </c>
      <c r="I54" s="350">
        <v>3000</v>
      </c>
      <c r="J54" s="349" t="s">
        <v>143</v>
      </c>
      <c r="K54" s="299">
        <f>IF(OR(Project_Info23[[#This Row],[Mounting Type Fixture/Application]]=0,Project_Info23[[#This Row],[Mounting Type Fixture/Application]]="Choose from dropdown"),"",VLOOKUP(Project_Info23[[#This Row],[Mounting Type Fixture/Application]],'Res - Ordinance Values'!$B$9:$C$20,2,FALSE))</f>
        <v>3.5</v>
      </c>
      <c r="L54" s="349"/>
      <c r="M54" s="277" t="s">
        <v>416</v>
      </c>
      <c r="N54" s="300" t="str">
        <f>_xlfn.IFNA(_xlfn.TEXTJOIN(" ",TRUE,'Res - Proposed Fixture analysis'!E9,'Res - Proposed Fixture analysis'!F9,'Res - Proposed Fixture analysis'!H9,'Res - Proposed Fixture analysis'!I9,'Res - Proposed Fixture analysis'!J9,'Res - Proposed Fixture analysis'!L9)&amp;".","")</f>
        <v>.</v>
      </c>
      <c r="O54" s="2"/>
      <c r="P54" s="2"/>
    </row>
    <row r="55" spans="1:20" x14ac:dyDescent="0.3">
      <c r="C55" s="346"/>
      <c r="D55" s="347"/>
      <c r="E55" s="347"/>
      <c r="F55" s="348"/>
      <c r="G55" s="349"/>
      <c r="H55" s="298">
        <f>Project_Info23[[#This Row],[Quantity]]*Project_Info23[[#This Row],[Lumens]]</f>
        <v>0</v>
      </c>
      <c r="I55" s="350"/>
      <c r="J55" s="349"/>
      <c r="K55" s="299" t="str">
        <f>IF(OR(Project_Info23[[#This Row],[Mounting Type Fixture/Application]]=0,Project_Info23[[#This Row],[Mounting Type Fixture/Application]]="Choose from dropdown"),"",VLOOKUP(Project_Info23[[#This Row],[Mounting Type Fixture/Application]],'Res - Ordinance Values'!$B$9:$C$20,2,FALSE))</f>
        <v/>
      </c>
      <c r="L55" s="349"/>
      <c r="M55" s="277" t="str">
        <f>IF('Res - Proposed Fixture analysis'!U10="More info needed","More info needed",_xlfn.IFNA(IF(AND(Project_Info23[[#This Row],[Proposed/Existing]]='Res - Proposed Fixture analysis'!$A$3,$D$76="No"),"Existing to Remain",'Res - Proposed Fixture analysis'!U10),""))</f>
        <v>More info needed</v>
      </c>
      <c r="N55" s="300" t="str">
        <f>_xlfn.IFNA(_xlfn.TEXTJOIN(" ",TRUE,'Res - Proposed Fixture analysis'!E10,'Res - Proposed Fixture analysis'!F10,'Res - Proposed Fixture analysis'!H10,'Res - Proposed Fixture analysis'!I10,'Res - Proposed Fixture analysis'!J10,'Res - Proposed Fixture analysis'!L10)&amp;".","")</f>
        <v>.</v>
      </c>
      <c r="O55" s="2"/>
      <c r="P55" s="2"/>
    </row>
    <row r="56" spans="1:20" x14ac:dyDescent="0.3">
      <c r="C56" s="346"/>
      <c r="D56" s="347"/>
      <c r="E56" s="347"/>
      <c r="F56" s="348"/>
      <c r="G56" s="349"/>
      <c r="H56" s="298">
        <f>Project_Info23[[#This Row],[Quantity]]*Project_Info23[[#This Row],[Lumens]]</f>
        <v>0</v>
      </c>
      <c r="I56" s="350"/>
      <c r="J56" s="349"/>
      <c r="K56" s="299" t="str">
        <f>IF(OR(Project_Info23[[#This Row],[Mounting Type Fixture/Application]]=0,Project_Info23[[#This Row],[Mounting Type Fixture/Application]]="Choose from dropdown"),"",VLOOKUP(Project_Info23[[#This Row],[Mounting Type Fixture/Application]],'Res - Ordinance Values'!$B$9:$C$20,2,FALSE))</f>
        <v/>
      </c>
      <c r="L56" s="349"/>
      <c r="M56" s="277" t="str">
        <f>IF('Res - Proposed Fixture analysis'!U11="More info needed","More info needed",_xlfn.IFNA(IF(AND(Project_Info23[[#This Row],[Proposed/Existing]]='Res - Proposed Fixture analysis'!$A$3,$D$76="No"),"Existing to Remain",'Res - Proposed Fixture analysis'!U11),""))</f>
        <v>More info needed</v>
      </c>
      <c r="N56" s="300" t="str">
        <f>_xlfn.IFNA(_xlfn.TEXTJOIN(" ",TRUE,'Res - Proposed Fixture analysis'!E11,'Res - Proposed Fixture analysis'!F11,'Res - Proposed Fixture analysis'!H11,'Res - Proposed Fixture analysis'!I11,'Res - Proposed Fixture analysis'!J11,'Res - Proposed Fixture analysis'!L11)&amp;".","")</f>
        <v>.</v>
      </c>
      <c r="O56" s="2"/>
      <c r="P56" s="2"/>
    </row>
    <row r="57" spans="1:20" x14ac:dyDescent="0.3">
      <c r="C57" s="346"/>
      <c r="D57" s="347"/>
      <c r="E57" s="347"/>
      <c r="F57" s="348"/>
      <c r="G57" s="349"/>
      <c r="H57" s="298">
        <f>Project_Info23[[#This Row],[Quantity]]*Project_Info23[[#This Row],[Lumens]]</f>
        <v>0</v>
      </c>
      <c r="I57" s="350"/>
      <c r="J57" s="349"/>
      <c r="K57" s="299" t="str">
        <f>IF(OR(Project_Info23[[#This Row],[Mounting Type Fixture/Application]]=0,Project_Info23[[#This Row],[Mounting Type Fixture/Application]]="Choose from dropdown"),"",VLOOKUP(Project_Info23[[#This Row],[Mounting Type Fixture/Application]],'Res - Ordinance Values'!$B$9:$C$20,2,FALSE))</f>
        <v/>
      </c>
      <c r="L57" s="349"/>
      <c r="M57" s="277" t="str">
        <f>IF('Res - Proposed Fixture analysis'!U12="More info needed","More info needed",_xlfn.IFNA(IF(AND(Project_Info23[[#This Row],[Proposed/Existing]]='Res - Proposed Fixture analysis'!$A$3,$D$76="No"),"Existing to Remain",'Res - Proposed Fixture analysis'!U12),""))</f>
        <v>More info needed</v>
      </c>
      <c r="N57" s="300" t="str">
        <f>_xlfn.IFNA(_xlfn.TEXTJOIN(" ",TRUE,'Res - Proposed Fixture analysis'!E12,'Res - Proposed Fixture analysis'!F12,'Res - Proposed Fixture analysis'!H12,'Res - Proposed Fixture analysis'!I12,'Res - Proposed Fixture analysis'!J12,'Res - Proposed Fixture analysis'!L12)&amp;".","")</f>
        <v>.</v>
      </c>
      <c r="O57" s="2"/>
      <c r="P57" s="2"/>
    </row>
    <row r="58" spans="1:20" x14ac:dyDescent="0.3">
      <c r="C58" s="346"/>
      <c r="D58" s="347"/>
      <c r="E58" s="347"/>
      <c r="F58" s="348"/>
      <c r="G58" s="349"/>
      <c r="H58" s="298">
        <f>Project_Info23[[#This Row],[Quantity]]*Project_Info23[[#This Row],[Lumens]]</f>
        <v>0</v>
      </c>
      <c r="I58" s="350"/>
      <c r="J58" s="349"/>
      <c r="K58" s="299" t="str">
        <f>IF(OR(Project_Info23[[#This Row],[Mounting Type Fixture/Application]]=0,Project_Info23[[#This Row],[Mounting Type Fixture/Application]]="Choose from dropdown"),"",VLOOKUP(Project_Info23[[#This Row],[Mounting Type Fixture/Application]],'Res - Ordinance Values'!$B$9:$C$20,2,FALSE))</f>
        <v/>
      </c>
      <c r="L58" s="349"/>
      <c r="M58" s="277" t="str">
        <f>IF('Res - Proposed Fixture analysis'!U13="More info needed","More info needed",_xlfn.IFNA(IF(AND(Project_Info23[[#This Row],[Proposed/Existing]]='Res - Proposed Fixture analysis'!$A$3,$D$76="No"),"Existing to Remain",'Res - Proposed Fixture analysis'!U13),""))</f>
        <v>More info needed</v>
      </c>
      <c r="N58" s="300" t="str">
        <f>_xlfn.IFNA(_xlfn.TEXTJOIN(" ",TRUE,'Res - Proposed Fixture analysis'!E13,'Res - Proposed Fixture analysis'!F13,'Res - Proposed Fixture analysis'!H13,'Res - Proposed Fixture analysis'!I13,'Res - Proposed Fixture analysis'!J13,'Res - Proposed Fixture analysis'!L13)&amp;".","")</f>
        <v>.</v>
      </c>
      <c r="O58" s="2"/>
      <c r="P58" s="2"/>
    </row>
    <row r="59" spans="1:20" x14ac:dyDescent="0.3">
      <c r="C59" s="346"/>
      <c r="D59" s="347"/>
      <c r="E59" s="347"/>
      <c r="F59" s="348"/>
      <c r="G59" s="349"/>
      <c r="H59" s="298">
        <f>Project_Info23[[#This Row],[Quantity]]*Project_Info23[[#This Row],[Lumens]]</f>
        <v>0</v>
      </c>
      <c r="I59" s="350"/>
      <c r="J59" s="349"/>
      <c r="K59" s="299" t="str">
        <f>IF(OR(Project_Info23[[#This Row],[Mounting Type Fixture/Application]]=0,Project_Info23[[#This Row],[Mounting Type Fixture/Application]]="Choose from dropdown"),"",VLOOKUP(Project_Info23[[#This Row],[Mounting Type Fixture/Application]],'Res - Ordinance Values'!$B$9:$C$20,2,FALSE))</f>
        <v/>
      </c>
      <c r="L59" s="349"/>
      <c r="M59" s="277" t="str">
        <f>IF('Res - Proposed Fixture analysis'!U14="More info needed","More info needed",_xlfn.IFNA(IF(AND(Project_Info23[[#This Row],[Proposed/Existing]]='Res - Proposed Fixture analysis'!$A$3,$D$76="No"),"Existing to Remain",'Res - Proposed Fixture analysis'!U14),""))</f>
        <v>More info needed</v>
      </c>
      <c r="N59" s="300" t="str">
        <f>_xlfn.IFNA(_xlfn.TEXTJOIN(" ",TRUE,'Res - Proposed Fixture analysis'!E14,'Res - Proposed Fixture analysis'!F14,'Res - Proposed Fixture analysis'!H14,'Res - Proposed Fixture analysis'!I14,'Res - Proposed Fixture analysis'!J14,'Res - Proposed Fixture analysis'!L14)&amp;".","")</f>
        <v>.</v>
      </c>
      <c r="O59" s="2"/>
      <c r="P59" s="2"/>
    </row>
    <row r="60" spans="1:20" x14ac:dyDescent="0.3">
      <c r="C60" s="346"/>
      <c r="D60" s="347"/>
      <c r="E60" s="347"/>
      <c r="F60" s="348"/>
      <c r="G60" s="349"/>
      <c r="H60" s="298">
        <f>Project_Info23[[#This Row],[Quantity]]*Project_Info23[[#This Row],[Lumens]]</f>
        <v>0</v>
      </c>
      <c r="I60" s="350"/>
      <c r="J60" s="349"/>
      <c r="K60" s="299" t="str">
        <f>IF(OR(Project_Info23[[#This Row],[Mounting Type Fixture/Application]]=0,Project_Info23[[#This Row],[Mounting Type Fixture/Application]]="Choose from dropdown"),"",VLOOKUP(Project_Info23[[#This Row],[Mounting Type Fixture/Application]],'Res - Ordinance Values'!$B$9:$C$20,2,FALSE))</f>
        <v/>
      </c>
      <c r="L60" s="349"/>
      <c r="M60" s="277" t="str">
        <f>IF('Res - Proposed Fixture analysis'!U15="More info needed","More info needed",_xlfn.IFNA(IF(AND(Project_Info23[[#This Row],[Proposed/Existing]]='Res - Proposed Fixture analysis'!$A$3,$D$76="No"),"Existing to Remain",'Res - Proposed Fixture analysis'!U15),""))</f>
        <v>More info needed</v>
      </c>
      <c r="N60" s="300" t="str">
        <f>_xlfn.IFNA(_xlfn.TEXTJOIN(" ",TRUE,'Res - Proposed Fixture analysis'!E15,'Res - Proposed Fixture analysis'!F15,'Res - Proposed Fixture analysis'!H15,'Res - Proposed Fixture analysis'!I15,'Res - Proposed Fixture analysis'!J15,'Res - Proposed Fixture analysis'!L15)&amp;".","")</f>
        <v>.</v>
      </c>
      <c r="O60" s="2"/>
      <c r="P60" s="2"/>
    </row>
    <row r="61" spans="1:20" x14ac:dyDescent="0.3">
      <c r="C61" s="346"/>
      <c r="D61" s="347"/>
      <c r="E61" s="347"/>
      <c r="F61" s="348"/>
      <c r="G61" s="349"/>
      <c r="H61" s="298">
        <f>Project_Info23[[#This Row],[Quantity]]*Project_Info23[[#This Row],[Lumens]]</f>
        <v>0</v>
      </c>
      <c r="I61" s="350"/>
      <c r="J61" s="349"/>
      <c r="K61" s="299" t="str">
        <f>IF(OR(Project_Info23[[#This Row],[Mounting Type Fixture/Application]]=0,Project_Info23[[#This Row],[Mounting Type Fixture/Application]]="Choose from dropdown"),"",VLOOKUP(Project_Info23[[#This Row],[Mounting Type Fixture/Application]],'Res - Ordinance Values'!$B$9:$C$20,2,FALSE))</f>
        <v/>
      </c>
      <c r="L61" s="349"/>
      <c r="M61" s="277" t="str">
        <f>IF('Res - Proposed Fixture analysis'!U16="More info needed","More info needed",_xlfn.IFNA(IF(AND(Project_Info23[[#This Row],[Proposed/Existing]]='Res - Proposed Fixture analysis'!$A$3,$D$76="No"),"Existing to Remain",'Res - Proposed Fixture analysis'!U16),""))</f>
        <v>More info needed</v>
      </c>
      <c r="N61" s="300" t="str">
        <f>_xlfn.IFNA(_xlfn.TEXTJOIN(" ",TRUE,'Res - Proposed Fixture analysis'!E16,'Res - Proposed Fixture analysis'!F16,'Res - Proposed Fixture analysis'!H16,'Res - Proposed Fixture analysis'!I16,'Res - Proposed Fixture analysis'!J16,'Res - Proposed Fixture analysis'!L16)&amp;".","")</f>
        <v>.</v>
      </c>
      <c r="O61" s="2"/>
      <c r="P61" s="2"/>
    </row>
    <row r="62" spans="1:20" x14ac:dyDescent="0.3">
      <c r="C62" s="351"/>
      <c r="D62" s="347"/>
      <c r="E62" s="352"/>
      <c r="F62" s="353"/>
      <c r="G62" s="354"/>
      <c r="H62" s="298">
        <f>Project_Info23[[#This Row],[Quantity]]*Project_Info23[[#This Row],[Lumens]]</f>
        <v>0</v>
      </c>
      <c r="I62" s="355"/>
      <c r="J62" s="349"/>
      <c r="K62" s="299" t="str">
        <f>IF(OR(Project_Info23[[#This Row],[Mounting Type Fixture/Application]]=0,Project_Info23[[#This Row],[Mounting Type Fixture/Application]]="Choose from dropdown"),"",VLOOKUP(Project_Info23[[#This Row],[Mounting Type Fixture/Application]],'Res - Ordinance Values'!$B$9:$C$20,2,FALSE))</f>
        <v/>
      </c>
      <c r="L62" s="354"/>
      <c r="M62" s="277" t="str">
        <f>IF('Res - Proposed Fixture analysis'!U17="More info needed","More info needed",_xlfn.IFNA(IF(AND(Project_Info23[[#This Row],[Proposed/Existing]]='Res - Proposed Fixture analysis'!$A$3,$D$76="No"),"Existing to Remain",'Res - Proposed Fixture analysis'!U17),""))</f>
        <v>More info needed</v>
      </c>
      <c r="N62" s="300" t="str">
        <f>_xlfn.IFNA(_xlfn.TEXTJOIN(" ",TRUE,'Res - Proposed Fixture analysis'!E17,'Res - Proposed Fixture analysis'!F17,'Res - Proposed Fixture analysis'!H17,'Res - Proposed Fixture analysis'!I17,'Res - Proposed Fixture analysis'!J17,'Res - Proposed Fixture analysis'!L17)&amp;".","")</f>
        <v>.</v>
      </c>
      <c r="O62" s="2"/>
      <c r="P62" s="2"/>
    </row>
    <row r="63" spans="1:20" customFormat="1" ht="92.55" customHeight="1" thickBot="1" x14ac:dyDescent="0.35">
      <c r="A63" s="356"/>
      <c r="B63" s="356"/>
      <c r="C63" s="356"/>
      <c r="D63" s="356"/>
      <c r="E63" s="356"/>
      <c r="F63" s="356"/>
      <c r="G63" s="356"/>
      <c r="H63" s="356"/>
      <c r="I63" s="356"/>
      <c r="J63" s="356"/>
      <c r="K63" s="356"/>
      <c r="L63" s="356"/>
      <c r="M63" s="356"/>
      <c r="N63" s="356"/>
      <c r="O63" s="356"/>
      <c r="P63" s="356"/>
      <c r="Q63" s="356"/>
      <c r="R63" s="356"/>
      <c r="S63" s="356"/>
      <c r="T63" s="356"/>
    </row>
    <row r="64" spans="1:20" ht="115.05" customHeight="1" thickTop="1" x14ac:dyDescent="0.3"/>
    <row r="65" spans="1:20" x14ac:dyDescent="0.3">
      <c r="B65" s="57" t="s">
        <v>317</v>
      </c>
    </row>
    <row r="66" spans="1:20" x14ac:dyDescent="0.3">
      <c r="C66" s="57"/>
    </row>
    <row r="67" spans="1:20" ht="15" thickBot="1" x14ac:dyDescent="0.35">
      <c r="C67" s="270" t="s">
        <v>124</v>
      </c>
      <c r="D67" s="287" t="s">
        <v>123</v>
      </c>
      <c r="E67" s="272" t="s">
        <v>120</v>
      </c>
      <c r="F67" s="272" t="s">
        <v>121</v>
      </c>
      <c r="G67" s="274" t="s">
        <v>122</v>
      </c>
      <c r="L67" s="160"/>
      <c r="M67" s="160"/>
      <c r="N67" s="160"/>
      <c r="O67" s="160"/>
      <c r="P67" s="160"/>
      <c r="Q67" s="160"/>
      <c r="S67" s="160"/>
      <c r="T67" s="160"/>
    </row>
    <row r="68" spans="1:20" x14ac:dyDescent="0.3">
      <c r="C68" s="288" t="s">
        <v>217</v>
      </c>
      <c r="D68" s="146">
        <f>IF(D29="LZ1",VLOOKUP(D34,LZ1_base[],2,TRUE),VLOOKUP(D34,LZ2_base[],2,TRUE))</f>
        <v>3350</v>
      </c>
      <c r="E68" s="289" t="s">
        <v>7</v>
      </c>
      <c r="F68" s="289"/>
      <c r="G68" s="290"/>
      <c r="L68" s="3"/>
      <c r="P68" s="2"/>
      <c r="R68" s="160"/>
    </row>
    <row r="69" spans="1:20" x14ac:dyDescent="0.3">
      <c r="C69" s="222" t="s">
        <v>94</v>
      </c>
      <c r="D69" s="240">
        <f>'Res Parcel Fail Analysis'!B26</f>
        <v>0</v>
      </c>
      <c r="E69" s="240" t="s">
        <v>7</v>
      </c>
      <c r="F69" s="240"/>
      <c r="G69" s="224"/>
      <c r="L69" s="3"/>
      <c r="P69" s="2"/>
    </row>
    <row r="70" spans="1:20" x14ac:dyDescent="0.3">
      <c r="C70" s="222" t="s">
        <v>118</v>
      </c>
      <c r="D70" s="240">
        <f>D68+D69</f>
        <v>3350</v>
      </c>
      <c r="E70" s="240" t="s">
        <v>7</v>
      </c>
      <c r="F70" s="240"/>
      <c r="G70" s="224"/>
      <c r="L70" s="3"/>
      <c r="P70" s="2"/>
    </row>
    <row r="71" spans="1:20" ht="3.75" customHeight="1" x14ac:dyDescent="0.3">
      <c r="C71" s="291"/>
      <c r="D71" s="292"/>
      <c r="E71" s="293"/>
      <c r="F71" s="293"/>
      <c r="G71" s="294"/>
      <c r="L71" s="160"/>
      <c r="M71" s="160"/>
      <c r="O71" s="160"/>
      <c r="P71" s="160"/>
      <c r="Q71" s="160"/>
      <c r="S71" s="160"/>
      <c r="T71" s="160"/>
    </row>
    <row r="72" spans="1:20" ht="55.5" hidden="1" customHeight="1" x14ac:dyDescent="0.3">
      <c r="C72" s="226" t="s">
        <v>164</v>
      </c>
      <c r="D72" s="275">
        <f ca="1">SUM(H51:H62)-SUMIF(D51:H62,'Res - Ordinance Values'!$B$27,H51:H62)</f>
        <v>350</v>
      </c>
      <c r="E72" s="240" t="s">
        <v>7</v>
      </c>
      <c r="F72" s="277"/>
      <c r="G72" s="295"/>
      <c r="J72" s="161"/>
      <c r="L72" s="160"/>
      <c r="M72" s="160"/>
      <c r="N72" s="160"/>
      <c r="O72" s="160"/>
      <c r="P72" s="160"/>
      <c r="Q72" s="160"/>
      <c r="R72" s="160"/>
      <c r="S72" s="160"/>
      <c r="T72" s="160"/>
    </row>
    <row r="73" spans="1:20" ht="74.25" customHeight="1" x14ac:dyDescent="0.3">
      <c r="C73" s="226" t="s">
        <v>128</v>
      </c>
      <c r="D73" s="279">
        <f ca="1">D72/D70</f>
        <v>0.1044776119402985</v>
      </c>
      <c r="E73" s="240"/>
      <c r="F73" s="240" t="str">
        <f ca="1">IF(D72&gt;D70*0.2,"FAIL","PASS")</f>
        <v>PASS</v>
      </c>
      <c r="G73" s="296" t="s">
        <v>165</v>
      </c>
      <c r="M73" s="160"/>
      <c r="N73" s="160"/>
      <c r="O73" s="160"/>
      <c r="S73" s="160"/>
      <c r="T73" s="160"/>
    </row>
    <row r="74" spans="1:20" ht="63" customHeight="1" x14ac:dyDescent="0.3">
      <c r="C74" s="281" t="s">
        <v>119</v>
      </c>
      <c r="D74" s="282">
        <f>SUM(H51:H62)</f>
        <v>3650</v>
      </c>
      <c r="E74" s="283" t="s">
        <v>7</v>
      </c>
      <c r="F74" s="285" t="str">
        <f>IF(OR(D74&gt;D70,'Res Parcel Fail Analysis'!C10="FAIL"),"FAIL","PASS")</f>
        <v>FAIL</v>
      </c>
      <c r="G74" s="297" t="str">
        <f>IF('Res Parcel Fail Analysis'!C10="FAIL","More than 40% of lumens proposed - change project scope (C30)","")</f>
        <v/>
      </c>
      <c r="M74" s="160"/>
      <c r="N74" s="160"/>
      <c r="O74" s="160"/>
      <c r="S74" s="160"/>
      <c r="T74" s="160"/>
    </row>
    <row r="75" spans="1:20" ht="21.75" customHeight="1" thickBot="1" x14ac:dyDescent="0.35">
      <c r="F75" s="57"/>
      <c r="L75" s="160"/>
      <c r="M75" s="160"/>
      <c r="N75" s="160"/>
      <c r="O75" s="160"/>
      <c r="P75" s="160"/>
      <c r="S75" s="160"/>
      <c r="T75" s="160"/>
    </row>
    <row r="76" spans="1:20" ht="38.25" customHeight="1" thickBot="1" x14ac:dyDescent="0.35">
      <c r="C76" s="329" t="str">
        <f>C32</f>
        <v>Scope triggers entire property into compliance?</v>
      </c>
      <c r="D76" s="301" t="str">
        <f>D32</f>
        <v>No</v>
      </c>
      <c r="E76" s="434" t="str">
        <f>IF(D32="Yes","Whole parcel compliance required - do not fill out existing parcel analysis","Only fill out 'Table 3a: Current / Existing parcel analysis' if proposed parcel does not comply")</f>
        <v>Only fill out 'Table 3a: Current / Existing parcel analysis' if proposed parcel does not comply</v>
      </c>
      <c r="F76" s="435"/>
      <c r="G76" s="436"/>
      <c r="H76" s="206"/>
      <c r="L76" s="160"/>
      <c r="M76" s="160"/>
      <c r="N76" s="160"/>
      <c r="O76" s="160"/>
      <c r="P76" s="160"/>
      <c r="R76" s="160"/>
      <c r="S76" s="160"/>
      <c r="T76" s="160"/>
    </row>
    <row r="77" spans="1:20" ht="235.2" customHeight="1" thickBot="1" x14ac:dyDescent="0.35">
      <c r="A77" s="328"/>
      <c r="B77" s="328"/>
      <c r="C77" s="328"/>
      <c r="D77" s="328"/>
      <c r="E77" s="328"/>
      <c r="F77" s="328"/>
      <c r="G77" s="328"/>
      <c r="H77" s="328"/>
      <c r="I77" s="328"/>
      <c r="J77" s="328"/>
      <c r="K77" s="328"/>
      <c r="L77" s="328"/>
      <c r="M77" s="328"/>
      <c r="N77" s="328"/>
      <c r="O77" s="328"/>
      <c r="P77" s="328"/>
      <c r="Q77" s="328"/>
      <c r="R77" s="328"/>
      <c r="S77" s="328"/>
      <c r="T77" s="328"/>
    </row>
    <row r="78" spans="1:20" ht="37.049999999999997" customHeight="1" thickTop="1" x14ac:dyDescent="0.3">
      <c r="B78" s="437" t="s">
        <v>357</v>
      </c>
      <c r="C78" s="437"/>
      <c r="D78" s="437"/>
      <c r="M78" s="160"/>
      <c r="N78" s="160"/>
      <c r="O78" s="160"/>
      <c r="P78" s="160"/>
      <c r="Q78" s="160"/>
      <c r="R78" s="160"/>
      <c r="S78" s="160"/>
      <c r="T78" s="160"/>
    </row>
    <row r="79" spans="1:20" ht="14.55" customHeight="1" x14ac:dyDescent="0.3">
      <c r="B79" s="218"/>
      <c r="C79" s="218"/>
      <c r="D79" s="218"/>
      <c r="M79" s="160"/>
      <c r="N79" s="160"/>
      <c r="O79" s="160"/>
      <c r="P79" s="160"/>
      <c r="Q79" s="160"/>
      <c r="R79" s="160"/>
      <c r="S79" s="160"/>
      <c r="T79" s="160"/>
    </row>
    <row r="80" spans="1:20" ht="37.5" customHeight="1" x14ac:dyDescent="0.3">
      <c r="C80" s="428" t="s">
        <v>360</v>
      </c>
      <c r="D80" s="428"/>
      <c r="E80" s="428"/>
      <c r="F80" s="428"/>
      <c r="G80" s="428"/>
      <c r="H80" s="428"/>
      <c r="I80" s="11"/>
      <c r="M80" s="160"/>
      <c r="N80" s="160"/>
      <c r="O80" s="160"/>
      <c r="P80" s="160"/>
      <c r="Q80" s="160"/>
      <c r="R80" s="160"/>
      <c r="S80" s="160"/>
    </row>
    <row r="81" spans="3:20" ht="16.5" customHeight="1" x14ac:dyDescent="0.3">
      <c r="C81" s="20"/>
      <c r="D81" s="20"/>
      <c r="E81" s="20"/>
      <c r="F81" s="20"/>
      <c r="G81" s="20"/>
      <c r="H81" s="20"/>
      <c r="I81" s="11"/>
      <c r="M81" s="160"/>
      <c r="N81" s="160"/>
      <c r="O81" s="160"/>
      <c r="P81" s="160"/>
      <c r="Q81" s="160"/>
      <c r="R81" s="160"/>
      <c r="S81" s="160"/>
    </row>
    <row r="82" spans="3:20" ht="55.5" customHeight="1" x14ac:dyDescent="0.3">
      <c r="C82" s="429" t="s">
        <v>359</v>
      </c>
      <c r="D82" s="429"/>
      <c r="E82" s="429"/>
      <c r="F82" s="429"/>
      <c r="G82" s="429"/>
      <c r="H82" s="429"/>
      <c r="I82" s="11"/>
      <c r="M82" s="160"/>
      <c r="N82" s="160"/>
      <c r="O82" s="160"/>
      <c r="P82" s="160"/>
      <c r="Q82" s="160"/>
      <c r="R82" s="160"/>
      <c r="S82" s="160"/>
    </row>
    <row r="83" spans="3:20" ht="3.45" customHeight="1" x14ac:dyDescent="0.3"/>
    <row r="84" spans="3:20" ht="29.55" customHeight="1" x14ac:dyDescent="0.3">
      <c r="C84" s="430" t="s">
        <v>330</v>
      </c>
      <c r="D84" s="430"/>
      <c r="E84" s="430"/>
      <c r="F84" s="430"/>
      <c r="G84" s="430"/>
      <c r="H84" s="430"/>
      <c r="I84" s="11"/>
      <c r="M84" s="160"/>
      <c r="N84" s="160"/>
      <c r="O84" s="160"/>
      <c r="P84" s="160"/>
      <c r="Q84" s="160"/>
      <c r="R84" s="160"/>
      <c r="S84" s="160"/>
      <c r="T84" s="160"/>
    </row>
    <row r="85" spans="3:20" ht="119.55" customHeight="1" x14ac:dyDescent="0.3">
      <c r="C85" s="11"/>
      <c r="D85" s="11"/>
      <c r="E85" s="11"/>
      <c r="F85" s="11"/>
      <c r="G85" s="11"/>
      <c r="H85" s="11"/>
      <c r="I85" s="11"/>
      <c r="M85" s="160"/>
      <c r="N85" s="160"/>
      <c r="O85" s="160"/>
      <c r="P85" s="160"/>
      <c r="Q85" s="160"/>
      <c r="R85" s="160"/>
      <c r="S85" s="160"/>
      <c r="T85" s="160"/>
    </row>
    <row r="86" spans="3:20" ht="28.8" x14ac:dyDescent="0.3">
      <c r="C86" s="32" t="s">
        <v>163</v>
      </c>
      <c r="D86" s="31" t="s">
        <v>131</v>
      </c>
      <c r="E86" s="31" t="s">
        <v>414</v>
      </c>
      <c r="F86" s="32" t="s">
        <v>3</v>
      </c>
      <c r="G86" s="32" t="s">
        <v>4</v>
      </c>
      <c r="H86" s="32" t="s">
        <v>6</v>
      </c>
      <c r="I86" s="32" t="s">
        <v>9</v>
      </c>
      <c r="J86" s="32" t="s">
        <v>148</v>
      </c>
      <c r="K86" s="32" t="s">
        <v>385</v>
      </c>
      <c r="L86" s="32" t="s">
        <v>152</v>
      </c>
      <c r="M86" s="32" t="s">
        <v>246</v>
      </c>
      <c r="N86" s="32" t="s">
        <v>70</v>
      </c>
      <c r="O86" s="2"/>
      <c r="P86" s="2"/>
    </row>
    <row r="87" spans="3:20" x14ac:dyDescent="0.3">
      <c r="C87" s="346" t="s">
        <v>383</v>
      </c>
      <c r="D87" s="347" t="s">
        <v>130</v>
      </c>
      <c r="E87" s="347" t="s">
        <v>187</v>
      </c>
      <c r="F87" s="348">
        <v>450</v>
      </c>
      <c r="G87" s="349">
        <v>3</v>
      </c>
      <c r="H87" s="298">
        <f t="shared" ref="H87:H98" si="0">F87*G87</f>
        <v>1350</v>
      </c>
      <c r="I87" s="350">
        <v>3000</v>
      </c>
      <c r="J87" s="349" t="s">
        <v>366</v>
      </c>
      <c r="K87" s="299">
        <v>10</v>
      </c>
      <c r="L87" s="349">
        <v>8</v>
      </c>
      <c r="M87" s="313" t="s">
        <v>394</v>
      </c>
      <c r="N87" s="414" t="str">
        <f>_xlfn.IFNA(_xlfn.TEXTJOIN(" ",TRUE,'Res - Proposed Fixture analysis'!E42,'Res - Proposed Fixture analysis'!F42,'Res - Proposed Fixture analysis'!H42,'Res - Proposed Fixture analysis'!I42,'Res - Proposed Fixture analysis'!J42,'Res - Proposed Fixture analysis'!L42)&amp;".","")</f>
        <v>.</v>
      </c>
      <c r="O87" s="2"/>
      <c r="P87" s="2"/>
    </row>
    <row r="88" spans="3:20" x14ac:dyDescent="0.3">
      <c r="C88" s="346" t="s">
        <v>384</v>
      </c>
      <c r="D88" s="347" t="s">
        <v>130</v>
      </c>
      <c r="E88" s="347" t="s">
        <v>187</v>
      </c>
      <c r="F88" s="348">
        <v>300</v>
      </c>
      <c r="G88" s="349">
        <v>5</v>
      </c>
      <c r="H88" s="298">
        <f t="shared" si="0"/>
        <v>1500</v>
      </c>
      <c r="I88" s="350">
        <v>3000</v>
      </c>
      <c r="J88" s="349" t="s">
        <v>143</v>
      </c>
      <c r="K88" s="299">
        <v>3.5</v>
      </c>
      <c r="L88" s="349">
        <v>11</v>
      </c>
      <c r="M88" s="313" t="s">
        <v>394</v>
      </c>
      <c r="N88" s="414" t="str">
        <f>_xlfn.IFNA(_xlfn.TEXTJOIN(" ",TRUE,'Res - Proposed Fixture analysis'!E43,'Res - Proposed Fixture analysis'!F43,'Res - Proposed Fixture analysis'!H43,'Res - Proposed Fixture analysis'!I43,'Res - Proposed Fixture analysis'!J43,'Res - Proposed Fixture analysis'!L43)&amp;".","")</f>
        <v>.</v>
      </c>
      <c r="O88" s="2"/>
      <c r="P88" s="2"/>
    </row>
    <row r="89" spans="3:20" x14ac:dyDescent="0.3">
      <c r="C89" s="346" t="s">
        <v>386</v>
      </c>
      <c r="D89" s="347" t="s">
        <v>130</v>
      </c>
      <c r="E89" s="347" t="s">
        <v>415</v>
      </c>
      <c r="F89" s="348">
        <v>500</v>
      </c>
      <c r="G89" s="349">
        <v>1</v>
      </c>
      <c r="H89" s="298">
        <f t="shared" si="0"/>
        <v>500</v>
      </c>
      <c r="I89" s="350">
        <v>2000</v>
      </c>
      <c r="J89" s="349" t="s">
        <v>150</v>
      </c>
      <c r="K89" s="299">
        <v>8</v>
      </c>
      <c r="L89" s="349">
        <v>10</v>
      </c>
      <c r="M89" s="313" t="s">
        <v>394</v>
      </c>
      <c r="N89" s="414" t="str">
        <f>_xlfn.IFNA(_xlfn.TEXTJOIN(" ",TRUE,'Res - Proposed Fixture analysis'!E44,'Res - Proposed Fixture analysis'!F44,'Res - Proposed Fixture analysis'!H44,'Res - Proposed Fixture analysis'!I44,'Res - Proposed Fixture analysis'!J44,'Res - Proposed Fixture analysis'!L44)&amp;".","")</f>
        <v>.</v>
      </c>
      <c r="O89" s="2"/>
      <c r="P89" s="2"/>
    </row>
    <row r="90" spans="3:20" x14ac:dyDescent="0.3">
      <c r="C90" s="346" t="s">
        <v>387</v>
      </c>
      <c r="D90" s="347" t="s">
        <v>130</v>
      </c>
      <c r="E90" s="347" t="s">
        <v>415</v>
      </c>
      <c r="F90" s="348">
        <v>400</v>
      </c>
      <c r="G90" s="349">
        <v>1</v>
      </c>
      <c r="H90" s="298">
        <f t="shared" si="0"/>
        <v>400</v>
      </c>
      <c r="I90" s="350">
        <v>2500</v>
      </c>
      <c r="J90" s="349" t="s">
        <v>143</v>
      </c>
      <c r="K90" s="299">
        <v>2</v>
      </c>
      <c r="L90" s="349">
        <v>2</v>
      </c>
      <c r="M90" s="313" t="s">
        <v>394</v>
      </c>
      <c r="N90" s="414" t="str">
        <f>_xlfn.IFNA(_xlfn.TEXTJOIN(" ",TRUE,'Res - Proposed Fixture analysis'!E45,'Res - Proposed Fixture analysis'!F45,'Res - Proposed Fixture analysis'!H45,'Res - Proposed Fixture analysis'!I45,'Res - Proposed Fixture analysis'!J45,'Res - Proposed Fixture analysis'!L45)&amp;".","")</f>
        <v>.</v>
      </c>
      <c r="O90" s="2"/>
      <c r="P90" s="2"/>
    </row>
    <row r="91" spans="3:20" x14ac:dyDescent="0.3">
      <c r="C91" s="346"/>
      <c r="D91" s="347"/>
      <c r="E91" s="347"/>
      <c r="F91" s="348"/>
      <c r="G91" s="349"/>
      <c r="H91" s="298">
        <f t="shared" si="0"/>
        <v>0</v>
      </c>
      <c r="I91" s="350"/>
      <c r="J91" s="349"/>
      <c r="K91" s="299"/>
      <c r="L91" s="349"/>
      <c r="M91" s="313" t="s">
        <v>394</v>
      </c>
      <c r="N91" s="414" t="str">
        <f>_xlfn.IFNA(_xlfn.TEXTJOIN(" ",TRUE,'Res - Proposed Fixture analysis'!E46,'Res - Proposed Fixture analysis'!F46,'Res - Proposed Fixture analysis'!H46,'Res - Proposed Fixture analysis'!I46,'Res - Proposed Fixture analysis'!J46,'Res - Proposed Fixture analysis'!L46)&amp;".","")</f>
        <v>.</v>
      </c>
      <c r="O91" s="2"/>
      <c r="P91" s="2"/>
    </row>
    <row r="92" spans="3:20" x14ac:dyDescent="0.3">
      <c r="C92" s="346"/>
      <c r="D92" s="347"/>
      <c r="E92" s="347"/>
      <c r="F92" s="348"/>
      <c r="G92" s="349"/>
      <c r="H92" s="298">
        <f t="shared" si="0"/>
        <v>0</v>
      </c>
      <c r="I92" s="350"/>
      <c r="J92" s="349"/>
      <c r="K92" s="299"/>
      <c r="L92" s="349"/>
      <c r="M92" s="313" t="s">
        <v>394</v>
      </c>
      <c r="N92" s="414" t="str">
        <f>_xlfn.IFNA(_xlfn.TEXTJOIN(" ",TRUE,'Res - Proposed Fixture analysis'!E47,'Res - Proposed Fixture analysis'!F47,'Res - Proposed Fixture analysis'!H47,'Res - Proposed Fixture analysis'!I47,'Res - Proposed Fixture analysis'!J47,'Res - Proposed Fixture analysis'!L47)&amp;".","")</f>
        <v>.</v>
      </c>
      <c r="O92" s="2"/>
      <c r="P92" s="2"/>
    </row>
    <row r="93" spans="3:20" x14ac:dyDescent="0.3">
      <c r="C93" s="346"/>
      <c r="D93" s="347"/>
      <c r="E93" s="347"/>
      <c r="F93" s="348"/>
      <c r="G93" s="349"/>
      <c r="H93" s="298">
        <f t="shared" si="0"/>
        <v>0</v>
      </c>
      <c r="I93" s="350"/>
      <c r="J93" s="349"/>
      <c r="K93" s="299"/>
      <c r="L93" s="349"/>
      <c r="M93" s="313" t="s">
        <v>394</v>
      </c>
      <c r="N93" s="414" t="str">
        <f>_xlfn.IFNA(_xlfn.TEXTJOIN(" ",TRUE,'Res - Proposed Fixture analysis'!E48,'Res - Proposed Fixture analysis'!F48,'Res - Proposed Fixture analysis'!H48,'Res - Proposed Fixture analysis'!I48,'Res - Proposed Fixture analysis'!J48,'Res - Proposed Fixture analysis'!L48)&amp;".","")</f>
        <v>.</v>
      </c>
      <c r="O93" s="2"/>
      <c r="P93" s="2"/>
    </row>
    <row r="94" spans="3:20" x14ac:dyDescent="0.3">
      <c r="C94" s="346"/>
      <c r="D94" s="347"/>
      <c r="E94" s="347"/>
      <c r="F94" s="348"/>
      <c r="G94" s="349"/>
      <c r="H94" s="298">
        <f t="shared" si="0"/>
        <v>0</v>
      </c>
      <c r="I94" s="350"/>
      <c r="J94" s="349"/>
      <c r="K94" s="299"/>
      <c r="L94" s="349"/>
      <c r="M94" s="313" t="s">
        <v>394</v>
      </c>
      <c r="N94" s="414" t="str">
        <f>_xlfn.IFNA(_xlfn.TEXTJOIN(" ",TRUE,'Res - Proposed Fixture analysis'!E49,'Res - Proposed Fixture analysis'!F49,'Res - Proposed Fixture analysis'!H49,'Res - Proposed Fixture analysis'!I49,'Res - Proposed Fixture analysis'!J49,'Res - Proposed Fixture analysis'!L49)&amp;".","")</f>
        <v>.</v>
      </c>
      <c r="O94" s="2"/>
      <c r="P94" s="2"/>
    </row>
    <row r="95" spans="3:20" x14ac:dyDescent="0.3">
      <c r="C95" s="346"/>
      <c r="D95" s="347"/>
      <c r="E95" s="347"/>
      <c r="F95" s="348"/>
      <c r="G95" s="349"/>
      <c r="H95" s="298">
        <f t="shared" si="0"/>
        <v>0</v>
      </c>
      <c r="I95" s="350"/>
      <c r="J95" s="349"/>
      <c r="K95" s="299"/>
      <c r="L95" s="349"/>
      <c r="M95" s="313" t="s">
        <v>394</v>
      </c>
      <c r="N95" s="414" t="str">
        <f>_xlfn.IFNA(_xlfn.TEXTJOIN(" ",TRUE,'Res - Proposed Fixture analysis'!E50,'Res - Proposed Fixture analysis'!F50,'Res - Proposed Fixture analysis'!H50,'Res - Proposed Fixture analysis'!I50,'Res - Proposed Fixture analysis'!J50,'Res - Proposed Fixture analysis'!L50)&amp;".","")</f>
        <v>.</v>
      </c>
      <c r="O95" s="2"/>
      <c r="P95" s="2"/>
    </row>
    <row r="96" spans="3:20" x14ac:dyDescent="0.3">
      <c r="C96" s="346"/>
      <c r="D96" s="347"/>
      <c r="E96" s="347"/>
      <c r="F96" s="348"/>
      <c r="G96" s="349"/>
      <c r="H96" s="298">
        <f t="shared" si="0"/>
        <v>0</v>
      </c>
      <c r="I96" s="350"/>
      <c r="J96" s="349"/>
      <c r="K96" s="299"/>
      <c r="L96" s="349"/>
      <c r="M96" s="313" t="s">
        <v>394</v>
      </c>
      <c r="N96" s="414" t="str">
        <f>_xlfn.IFNA(_xlfn.TEXTJOIN(" ",TRUE,'Res - Proposed Fixture analysis'!E51,'Res - Proposed Fixture analysis'!F51,'Res - Proposed Fixture analysis'!H51,'Res - Proposed Fixture analysis'!I51,'Res - Proposed Fixture analysis'!J51,'Res - Proposed Fixture analysis'!L51)&amp;".","")</f>
        <v>.</v>
      </c>
      <c r="O96" s="2"/>
      <c r="P96" s="2"/>
    </row>
    <row r="97" spans="1:20" x14ac:dyDescent="0.3">
      <c r="C97" s="346"/>
      <c r="D97" s="347"/>
      <c r="E97" s="347"/>
      <c r="F97" s="348"/>
      <c r="G97" s="349"/>
      <c r="H97" s="298">
        <f t="shared" si="0"/>
        <v>0</v>
      </c>
      <c r="I97" s="350"/>
      <c r="J97" s="349"/>
      <c r="K97" s="299"/>
      <c r="L97" s="349"/>
      <c r="M97" s="313" t="s">
        <v>394</v>
      </c>
      <c r="N97" s="414" t="str">
        <f>_xlfn.IFNA(_xlfn.TEXTJOIN(" ",TRUE,'Res - Proposed Fixture analysis'!E52,'Res - Proposed Fixture analysis'!F52,'Res - Proposed Fixture analysis'!H52,'Res - Proposed Fixture analysis'!I52,'Res - Proposed Fixture analysis'!J52,'Res - Proposed Fixture analysis'!L52)&amp;".","")</f>
        <v>.</v>
      </c>
      <c r="O97" s="2"/>
      <c r="P97" s="2"/>
    </row>
    <row r="98" spans="1:20" x14ac:dyDescent="0.3">
      <c r="C98" s="351"/>
      <c r="D98" s="352"/>
      <c r="E98" s="352"/>
      <c r="F98" s="353"/>
      <c r="G98" s="354"/>
      <c r="H98" s="298">
        <f t="shared" si="0"/>
        <v>0</v>
      </c>
      <c r="I98" s="355"/>
      <c r="J98" s="354"/>
      <c r="K98" s="413"/>
      <c r="L98" s="354"/>
      <c r="M98" s="313" t="s">
        <v>394</v>
      </c>
      <c r="N98" s="414" t="str">
        <f>_xlfn.IFNA(_xlfn.TEXTJOIN(" ",TRUE,'Res - Proposed Fixture analysis'!E53,'Res - Proposed Fixture analysis'!F53,'Res - Proposed Fixture analysis'!H53,'Res - Proposed Fixture analysis'!I53,'Res - Proposed Fixture analysis'!J53,'Res - Proposed Fixture analysis'!L53)&amp;".","")</f>
        <v>.</v>
      </c>
      <c r="O98" s="2"/>
      <c r="P98" s="2"/>
    </row>
    <row r="99" spans="1:20" ht="112.8" customHeight="1" thickBot="1" x14ac:dyDescent="0.35">
      <c r="A99" s="328"/>
      <c r="B99" s="328"/>
      <c r="C99" s="328"/>
      <c r="D99" s="328"/>
      <c r="E99" s="328"/>
      <c r="F99" s="328"/>
      <c r="G99" s="328"/>
      <c r="H99" s="328"/>
      <c r="I99" s="328"/>
      <c r="J99" s="328"/>
      <c r="K99" s="328"/>
      <c r="L99" s="328"/>
      <c r="M99" s="328"/>
      <c r="N99" s="328"/>
      <c r="O99" s="328"/>
      <c r="P99" s="328"/>
      <c r="Q99" s="328"/>
      <c r="R99" s="328"/>
      <c r="S99" s="328"/>
      <c r="T99" s="328"/>
    </row>
    <row r="100" spans="1:20" ht="29.55" customHeight="1" thickTop="1" x14ac:dyDescent="0.3">
      <c r="B100" s="93" t="s">
        <v>319</v>
      </c>
    </row>
    <row r="101" spans="1:20" x14ac:dyDescent="0.3">
      <c r="B101" s="57"/>
    </row>
    <row r="102" spans="1:20" ht="62.55" customHeight="1" x14ac:dyDescent="0.3">
      <c r="B102" s="57"/>
      <c r="C102" s="429" t="s">
        <v>377</v>
      </c>
      <c r="D102" s="429"/>
      <c r="E102" s="429"/>
      <c r="F102" s="429"/>
      <c r="G102" s="429"/>
      <c r="H102" s="429"/>
    </row>
    <row r="103" spans="1:20" x14ac:dyDescent="0.3">
      <c r="C103" s="57"/>
    </row>
    <row r="104" spans="1:20" ht="35.25" customHeight="1" x14ac:dyDescent="0.3">
      <c r="C104" s="270" t="s">
        <v>124</v>
      </c>
      <c r="D104" s="271" t="s">
        <v>375</v>
      </c>
      <c r="E104" s="272" t="s">
        <v>120</v>
      </c>
      <c r="F104" s="273" t="s">
        <v>376</v>
      </c>
      <c r="G104" s="273" t="s">
        <v>69</v>
      </c>
      <c r="H104" s="272" t="s">
        <v>121</v>
      </c>
      <c r="I104" s="274" t="s">
        <v>122</v>
      </c>
      <c r="M104" s="2"/>
      <c r="N104" s="2"/>
      <c r="Q104" s="3"/>
      <c r="R104" s="3"/>
    </row>
    <row r="105" spans="1:20" ht="34.200000000000003" hidden="1" customHeight="1" x14ac:dyDescent="0.3">
      <c r="C105" s="226" t="s">
        <v>327</v>
      </c>
      <c r="D105" s="275">
        <f>SUM(Existing_Info24[Total Lumens])-SUMIF(Existing_Info24[Fixture Type],'Res - Ordinance Values'!$B$27,Existing_Info24[Total Lumens])</f>
        <v>0</v>
      </c>
      <c r="E105" s="240" t="s">
        <v>7</v>
      </c>
      <c r="F105" s="276">
        <f ca="1">D72</f>
        <v>350</v>
      </c>
      <c r="G105" s="240" t="s">
        <v>7</v>
      </c>
      <c r="H105" s="277"/>
      <c r="I105" s="278"/>
      <c r="M105" s="2"/>
      <c r="N105" s="2"/>
      <c r="Q105" s="3"/>
      <c r="R105" s="3"/>
    </row>
    <row r="106" spans="1:20" ht="53.25" customHeight="1" x14ac:dyDescent="0.3">
      <c r="C106" s="226" t="s">
        <v>314</v>
      </c>
      <c r="D106" s="279">
        <f>D105/D70</f>
        <v>0</v>
      </c>
      <c r="E106" s="240" t="s">
        <v>356</v>
      </c>
      <c r="F106" s="280">
        <f ca="1">D73</f>
        <v>0.1044776119402985</v>
      </c>
      <c r="G106" s="240" t="s">
        <v>356</v>
      </c>
      <c r="H106" s="277" t="s">
        <v>417</v>
      </c>
      <c r="I106" s="278" t="s">
        <v>418</v>
      </c>
      <c r="M106" s="2"/>
      <c r="N106" s="2"/>
      <c r="Q106" s="3"/>
      <c r="R106" s="3"/>
    </row>
    <row r="107" spans="1:20" ht="47.25" customHeight="1" x14ac:dyDescent="0.3">
      <c r="C107" s="281" t="s">
        <v>328</v>
      </c>
      <c r="D107" s="282">
        <f>SUM(Existing_Info24[Total Lumens])</f>
        <v>3750</v>
      </c>
      <c r="E107" s="283" t="s">
        <v>7</v>
      </c>
      <c r="F107" s="284">
        <f>D74</f>
        <v>3650</v>
      </c>
      <c r="G107" s="283" t="s">
        <v>7</v>
      </c>
      <c r="H107" s="285" t="str">
        <f>IF(Lumen_Analysis2025[[#This Row],[Proposed Parcel Analysis]]&gt;Lumen_Analysis2025[[#This Row],[Existing Parcel Analysis]],"FAIL","PASS")</f>
        <v>PASS</v>
      </c>
      <c r="I107" s="286" t="str">
        <f>IF(Lumen_Analysis2025[[#This Row],[PASS/FAIL]]="FAIL","Proposed cannot exceed existing","")</f>
        <v/>
      </c>
      <c r="M107" s="2"/>
      <c r="Q107" s="3"/>
      <c r="R107" s="3"/>
    </row>
    <row r="108" spans="1:20" x14ac:dyDescent="0.3">
      <c r="L108" s="3"/>
    </row>
    <row r="109" spans="1:20" x14ac:dyDescent="0.3">
      <c r="L109" s="3"/>
    </row>
    <row r="110" spans="1:20" x14ac:dyDescent="0.3">
      <c r="L110" s="3"/>
    </row>
    <row r="111" spans="1:20" x14ac:dyDescent="0.3">
      <c r="K111" s="3"/>
    </row>
    <row r="112" spans="1:20" x14ac:dyDescent="0.3">
      <c r="K112" s="3"/>
    </row>
  </sheetData>
  <sheetProtection algorithmName="SHA-512" hashValue="UOlpTSWKLu4lYTmof8mJlZPOJDL8NAwCwM2vl5e/cIZIQHek7sSCj0Nc+BPrhfdS4H1pdRnmewWTFTykgrG3Mw==" saltValue="aurkb5WY/5ABqd4lGbB9zQ==" spinCount="100000" sheet="1" objects="1" scenarios="1" selectLockedCells="1"/>
  <mergeCells count="36">
    <mergeCell ref="C23:G23"/>
    <mergeCell ref="B2:H5"/>
    <mergeCell ref="B7:D7"/>
    <mergeCell ref="E7:J7"/>
    <mergeCell ref="B8:D8"/>
    <mergeCell ref="E8:J8"/>
    <mergeCell ref="B9:D9"/>
    <mergeCell ref="E9:J9"/>
    <mergeCell ref="B10:D10"/>
    <mergeCell ref="E10:J10"/>
    <mergeCell ref="B11:D11"/>
    <mergeCell ref="E11:J11"/>
    <mergeCell ref="C19:H20"/>
    <mergeCell ref="O34:S38"/>
    <mergeCell ref="K38:N38"/>
    <mergeCell ref="B25:C25"/>
    <mergeCell ref="L27:N27"/>
    <mergeCell ref="L28:N28"/>
    <mergeCell ref="L29:N29"/>
    <mergeCell ref="L30:N30"/>
    <mergeCell ref="L31:N31"/>
    <mergeCell ref="L32:N32"/>
    <mergeCell ref="K34:K37"/>
    <mergeCell ref="L34:L37"/>
    <mergeCell ref="M34:M37"/>
    <mergeCell ref="N34:N37"/>
    <mergeCell ref="C80:H80"/>
    <mergeCell ref="C82:H82"/>
    <mergeCell ref="C84:H84"/>
    <mergeCell ref="C102:H102"/>
    <mergeCell ref="B41:C41"/>
    <mergeCell ref="C42:H42"/>
    <mergeCell ref="C45:H47"/>
    <mergeCell ref="C48:D48"/>
    <mergeCell ref="E76:G76"/>
    <mergeCell ref="B78:D78"/>
  </mergeCells>
  <conditionalFormatting sqref="B78:N85 B86:K98 B100:N109">
    <cfRule type="expression" dxfId="121" priority="5">
      <formula>$E$76="Whole parcel compliance required - do not fill out existing parcel analysis"</formula>
    </cfRule>
  </conditionalFormatting>
  <conditionalFormatting sqref="B100:N109 B78:N85 B86:K98">
    <cfRule type="expression" dxfId="120" priority="28">
      <formula>$E$76="Do not fill out existing parcel analysis - proposed parcel conforms entirely with new code"</formula>
    </cfRule>
  </conditionalFormatting>
  <conditionalFormatting sqref="C51:C62">
    <cfRule type="expression" dxfId="119" priority="4">
      <formula>$M51="Fail"</formula>
    </cfRule>
  </conditionalFormatting>
  <conditionalFormatting sqref="C87:C98">
    <cfRule type="expression" dxfId="118" priority="29">
      <formula>#REF!="Fail"</formula>
    </cfRule>
  </conditionalFormatting>
  <conditionalFormatting sqref="D28">
    <cfRule type="containsText" dxfId="117" priority="18" operator="containsText" text="Commercial">
      <formula>NOT(ISERROR(SEARCH("Commercial",D28)))</formula>
    </cfRule>
  </conditionalFormatting>
  <conditionalFormatting sqref="D72">
    <cfRule type="cellIs" dxfId="116" priority="26" operator="greaterThan">
      <formula>#REF!</formula>
    </cfRule>
    <cfRule type="cellIs" dxfId="115" priority="27" operator="lessThanOrEqual">
      <formula>#REF!</formula>
    </cfRule>
  </conditionalFormatting>
  <conditionalFormatting sqref="D73">
    <cfRule type="cellIs" dxfId="114" priority="16" operator="lessThan">
      <formula>0.2</formula>
    </cfRule>
    <cfRule type="cellIs" dxfId="113" priority="17" operator="greaterThanOrEqual">
      <formula>0.2</formula>
    </cfRule>
  </conditionalFormatting>
  <conditionalFormatting sqref="D74">
    <cfRule type="cellIs" dxfId="112" priority="24" operator="greaterThan">
      <formula>$D$68</formula>
    </cfRule>
    <cfRule type="cellIs" dxfId="111" priority="25" operator="lessThanOrEqual">
      <formula>$D$68</formula>
    </cfRule>
  </conditionalFormatting>
  <conditionalFormatting sqref="E76">
    <cfRule type="cellIs" dxfId="110" priority="6" operator="equal">
      <formula>"Do not fill out existing parcel analysis - proposed parcel conforms entirely with new code"</formula>
    </cfRule>
    <cfRule type="cellIs" dxfId="109" priority="12" operator="equal">
      <formula>"Fill out existing parcel analysis - proposal is non-conforming"</formula>
    </cfRule>
    <cfRule type="cellIs" dxfId="108" priority="13" operator="equal">
      <formula>"Whole parcel compliance required - do not fill out existing parcel analysis"</formula>
    </cfRule>
  </conditionalFormatting>
  <conditionalFormatting sqref="F68:F74 H105:H107">
    <cfRule type="containsText" dxfId="107" priority="21" operator="containsText" text="PASS">
      <formula>NOT(ISERROR(SEARCH("PASS",F68)))</formula>
    </cfRule>
  </conditionalFormatting>
  <conditionalFormatting sqref="F105:F107">
    <cfRule type="expression" dxfId="106" priority="7">
      <formula>$H105="PASS"</formula>
    </cfRule>
    <cfRule type="expression" dxfId="105" priority="8">
      <formula>$H105="FAIL"</formula>
    </cfRule>
  </conditionalFormatting>
  <conditionalFormatting sqref="H105:H107 F68:F74">
    <cfRule type="containsText" dxfId="104" priority="20" operator="containsText" text="FAIL">
      <formula>NOT(ISERROR(SEARCH("FAIL",F68)))</formula>
    </cfRule>
  </conditionalFormatting>
  <conditionalFormatting sqref="K27">
    <cfRule type="cellIs" dxfId="103" priority="19" operator="lessThan">
      <formula>0</formula>
    </cfRule>
  </conditionalFormatting>
  <conditionalFormatting sqref="L34:L35">
    <cfRule type="containsText" dxfId="102" priority="10" operator="containsText" text="TEMP PASS">
      <formula>NOT(ISERROR(SEARCH("TEMP PASS",L34)))</formula>
    </cfRule>
    <cfRule type="containsText" dxfId="101" priority="22" operator="containsText" text="FAIL">
      <formula>NOT(ISERROR(SEARCH("FAIL",L34)))</formula>
    </cfRule>
    <cfRule type="containsText" dxfId="100" priority="23" operator="containsText" text="PASS">
      <formula>NOT(ISERROR(SEARCH("PASS",L34)))</formula>
    </cfRule>
  </conditionalFormatting>
  <conditionalFormatting sqref="M51:M62">
    <cfRule type="cellIs" dxfId="99" priority="11" operator="equal">
      <formula>"More info needed"</formula>
    </cfRule>
    <cfRule type="containsText" dxfId="98" priority="14" operator="containsText" text="fail">
      <formula>NOT(ISERROR(SEARCH("fail",M51)))</formula>
    </cfRule>
    <cfRule type="containsText" dxfId="97" priority="15" operator="containsText" text="pass">
      <formula>NOT(ISERROR(SEARCH("pass",M51)))</formula>
    </cfRule>
  </conditionalFormatting>
  <conditionalFormatting sqref="M87:M98">
    <cfRule type="cellIs" dxfId="96" priority="1" operator="equal">
      <formula>"More info needed"</formula>
    </cfRule>
    <cfRule type="containsText" dxfId="95" priority="2" operator="containsText" text="fail">
      <formula>NOT(ISERROR(SEARCH("fail",M87)))</formula>
    </cfRule>
    <cfRule type="containsText" dxfId="94" priority="3" operator="containsText" text="pass">
      <formula>NOT(ISERROR(SEARCH("pass",M87)))</formula>
    </cfRule>
  </conditionalFormatting>
  <conditionalFormatting sqref="O34">
    <cfRule type="cellIs" dxfId="93" priority="9" operator="equal">
      <formula>"City of Aspen Land Use Code requires all fixtures, including existing or current, to comply with this new lighting code by XX/XX/2028. Your current lighting plan leaves fixtures remaining that must be fixed by this date."</formula>
    </cfRule>
  </conditionalFormatting>
  <dataValidations count="2">
    <dataValidation type="list" allowBlank="1" showInputMessage="1" showErrorMessage="1" sqref="E51" xr:uid="{18C3EB6F-BAD9-4EA5-9AA0-EB2FF613F6E1}">
      <formula1>"Choose from dropdown,Proposed,Existing to Remain"</formula1>
    </dataValidation>
    <dataValidation type="list" allowBlank="1" showInputMessage="1" showErrorMessage="1" sqref="D28" xr:uid="{B4B31B72-962C-4262-B570-8CE675B45549}">
      <formula1>"Single Family,Duplex,Multi-Family,Mixed-Use,Commercial"</formula1>
    </dataValidation>
  </dataValidations>
  <pageMargins left="0.7" right="0.7" top="0.75" bottom="0.75" header="0.3" footer="0.3"/>
  <pageSetup paperSize="3" orientation="landscape" r:id="rId1"/>
  <headerFooter>
    <oddHeader>&amp;CCITY OF ASPEN RESIDENTIAL
 LIGHTING ORDINANCE COMPLIANCE FORM</oddHeader>
  </headerFooter>
  <drawing r:id="rId2"/>
  <tableParts count="5">
    <tablePart r:id="rId3"/>
    <tablePart r:id="rId4"/>
    <tablePart r:id="rId5"/>
    <tablePart r:id="rId6"/>
    <tablePart r:id="rId7"/>
  </tableParts>
  <extLst>
    <ext xmlns:x14="http://schemas.microsoft.com/office/spreadsheetml/2009/9/main" uri="{CCE6A557-97BC-4b89-ADB6-D9C93CAAB3DF}">
      <x14:dataValidations xmlns:xm="http://schemas.microsoft.com/office/excel/2006/main" count="9">
        <x14:dataValidation type="list" allowBlank="1" showInputMessage="1" showErrorMessage="1" xr:uid="{EDF3DB40-AC09-4ED8-B201-B65A4578661C}">
          <x14:formula1>
            <xm:f>'Res - Ordinance Values'!$B$22:$B$28</xm:f>
          </x14:formula1>
          <xm:sqref>D52:D62</xm:sqref>
        </x14:dataValidation>
        <x14:dataValidation type="list" allowBlank="1" showInputMessage="1" showErrorMessage="1" xr:uid="{21169229-2D9B-4D26-91FC-F16CAEA6255B}">
          <x14:formula1>
            <xm:f>'Res - Ordinance Values'!$B$10:$B$20</xm:f>
          </x14:formula1>
          <xm:sqref>J88 J52:J62</xm:sqref>
        </x14:dataValidation>
        <x14:dataValidation type="list" allowBlank="1" showInputMessage="1" showErrorMessage="1" xr:uid="{016A1147-15C1-4E5F-B57D-B5BCC7EE2E21}">
          <x14:formula1>
            <xm:f>'Res - Ordinance Values'!$B$9:$B$20</xm:f>
          </x14:formula1>
          <xm:sqref>J87 J51</xm:sqref>
        </x14:dataValidation>
        <x14:dataValidation type="list" allowBlank="1" showInputMessage="1" showErrorMessage="1" xr:uid="{690AD9A9-B96B-4A8D-83BD-AD5C18AE7AB2}">
          <x14:formula1>
            <xm:f>'Res - Proposed Fixture analysis'!$A$3:$A$4</xm:f>
          </x14:formula1>
          <xm:sqref>E52:E62</xm:sqref>
        </x14:dataValidation>
        <x14:dataValidation type="list" allowBlank="1" showInputMessage="1" showErrorMessage="1" xr:uid="{405D1D00-5572-481B-9505-2A8F803FD1A9}">
          <x14:formula1>
            <xm:f>'Res - Ordinance Values'!$J$22:$J$28</xm:f>
          </x14:formula1>
          <xm:sqref>D51 D87</xm:sqref>
        </x14:dataValidation>
        <x14:dataValidation type="list" allowBlank="1" showInputMessage="1" showErrorMessage="1" xr:uid="{E8F37E75-F63D-4A74-9426-D85B51BD2D2B}">
          <x14:formula1>
            <xm:f>'Res - Ordinance Values'!$B$10:$B$17</xm:f>
          </x14:formula1>
          <xm:sqref>J89:J98</xm:sqref>
        </x14:dataValidation>
        <x14:dataValidation type="list" allowBlank="1" showInputMessage="1" showErrorMessage="1" xr:uid="{686B732B-5B74-4FA9-888B-163ADE1489D8}">
          <x14:formula1>
            <xm:f>'Res - Ordinance Values'!$B$23:$B$28</xm:f>
          </x14:formula1>
          <xm:sqref>D88:D98</xm:sqref>
        </x14:dataValidation>
        <x14:dataValidation type="list" allowBlank="1" showInputMessage="1" showErrorMessage="1" xr:uid="{78335D1F-D3D5-487E-825A-5DCE67C4BA11}">
          <x14:formula1>
            <xm:f>'Res - Ordinance Values'!$B$56:$B$62</xm:f>
          </x14:formula1>
          <xm:sqref>D31</xm:sqref>
        </x14:dataValidation>
        <x14:dataValidation type="list" allowBlank="1" showInputMessage="1" showErrorMessage="1" xr:uid="{32EB0D65-E181-4E8E-8062-F378FDB346A7}">
          <x14:formula1>
            <xm:f>'Ref - Zone Districts'!$B$4:$B$32</xm:f>
          </x14:formula1>
          <xm:sqref>D27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C8FFC-6804-452B-828B-C355E51333BD}">
  <sheetPr>
    <tabColor rgb="FF0070C0"/>
    <pageSetUpPr autoPageBreaks="0"/>
  </sheetPr>
  <dimension ref="A1:AG113"/>
  <sheetViews>
    <sheetView showGridLines="0" zoomScaleNormal="100" zoomScalePageLayoutView="85" workbookViewId="0">
      <selection activeCell="E7" sqref="E7:J7"/>
    </sheetView>
  </sheetViews>
  <sheetFormatPr defaultColWidth="8.88671875" defaultRowHeight="14.4" x14ac:dyDescent="0.3"/>
  <cols>
    <col min="1" max="1" width="7.21875" style="2" customWidth="1"/>
    <col min="2" max="2" width="3.33203125" style="2" customWidth="1"/>
    <col min="3" max="3" width="32.44140625" style="2" customWidth="1"/>
    <col min="4" max="4" width="47.33203125" style="2" customWidth="1"/>
    <col min="5" max="5" width="22.6640625" style="2" customWidth="1"/>
    <col min="6" max="6" width="19.5546875" style="2" customWidth="1"/>
    <col min="7" max="7" width="17" style="2" customWidth="1"/>
    <col min="8" max="8" width="14.88671875" style="2" customWidth="1"/>
    <col min="9" max="9" width="27.33203125" style="2" customWidth="1"/>
    <col min="10" max="10" width="32.44140625" style="2" customWidth="1"/>
    <col min="11" max="11" width="19.88671875" style="2" customWidth="1"/>
    <col min="12" max="12" width="15.109375" style="2" customWidth="1"/>
    <col min="13" max="13" width="22.88671875" style="3" customWidth="1"/>
    <col min="14" max="14" width="37.77734375" style="3" customWidth="1"/>
    <col min="15" max="15" width="13" style="3" customWidth="1"/>
    <col min="16" max="16" width="21.5546875" style="3" bestFit="1" customWidth="1"/>
    <col min="17" max="17" width="60.109375" style="2" bestFit="1" customWidth="1"/>
    <col min="18" max="18" width="42.44140625" style="2" customWidth="1"/>
    <col min="19" max="19" width="16.33203125" style="2" bestFit="1" customWidth="1"/>
    <col min="20" max="20" width="19" style="2" customWidth="1"/>
    <col min="21" max="21" width="21.5546875" style="2" bestFit="1" customWidth="1"/>
    <col min="22" max="16384" width="8.88671875" style="2"/>
  </cols>
  <sheetData>
    <row r="1" spans="2:33" ht="34.950000000000003" customHeight="1" thickBot="1" x14ac:dyDescent="0.35"/>
    <row r="2" spans="2:33" x14ac:dyDescent="0.3">
      <c r="B2" s="465" t="s">
        <v>196</v>
      </c>
      <c r="C2" s="499"/>
      <c r="D2" s="499"/>
      <c r="E2" s="499"/>
      <c r="F2" s="499"/>
      <c r="G2" s="499"/>
      <c r="H2" s="500"/>
      <c r="I2" s="127"/>
      <c r="K2" s="127"/>
      <c r="L2" s="127"/>
      <c r="M2" s="127"/>
      <c r="N2" s="127"/>
      <c r="O2" s="127"/>
      <c r="P2" s="127"/>
      <c r="Q2" s="127"/>
      <c r="R2" s="127"/>
      <c r="S2" s="127"/>
      <c r="T2"/>
      <c r="U2" s="127"/>
      <c r="V2" s="127"/>
    </row>
    <row r="3" spans="2:33" ht="22.8" x14ac:dyDescent="0.4">
      <c r="B3" s="501"/>
      <c r="C3" s="494"/>
      <c r="D3" s="494"/>
      <c r="E3" s="494"/>
      <c r="F3" s="494"/>
      <c r="G3" s="494"/>
      <c r="H3" s="502"/>
      <c r="I3" s="128"/>
      <c r="K3" s="128"/>
      <c r="L3" s="128"/>
      <c r="M3" s="128"/>
      <c r="N3" s="128"/>
      <c r="O3" s="128"/>
      <c r="P3" s="128"/>
      <c r="Q3" s="128"/>
      <c r="R3" s="128"/>
      <c r="S3" s="128"/>
      <c r="T3" s="128"/>
      <c r="U3" s="128"/>
      <c r="V3" s="128"/>
    </row>
    <row r="4" spans="2:33" ht="22.8" x14ac:dyDescent="0.4">
      <c r="B4" s="501"/>
      <c r="C4" s="494"/>
      <c r="D4" s="494"/>
      <c r="E4" s="494"/>
      <c r="F4" s="494"/>
      <c r="G4" s="494"/>
      <c r="H4" s="502"/>
      <c r="I4" s="128"/>
      <c r="J4" s="128"/>
      <c r="K4" s="128"/>
      <c r="L4" s="128"/>
      <c r="M4" s="128"/>
      <c r="N4" s="128"/>
      <c r="O4" s="128"/>
      <c r="P4" s="128"/>
      <c r="Q4" s="128"/>
      <c r="R4" s="128"/>
      <c r="S4" s="128"/>
      <c r="T4" s="128"/>
      <c r="U4" s="128"/>
      <c r="V4" s="128"/>
    </row>
    <row r="5" spans="2:33" ht="23.4" thickBot="1" x14ac:dyDescent="0.45">
      <c r="B5" s="503"/>
      <c r="C5" s="504"/>
      <c r="D5" s="504"/>
      <c r="E5" s="504"/>
      <c r="F5" s="504"/>
      <c r="G5" s="504"/>
      <c r="H5" s="505"/>
      <c r="I5" s="128"/>
      <c r="J5" s="128"/>
      <c r="K5" s="128"/>
      <c r="L5" s="128"/>
      <c r="M5" s="128"/>
      <c r="N5" s="128"/>
      <c r="O5" s="128"/>
      <c r="P5" s="128"/>
      <c r="Q5" s="128"/>
      <c r="S5" s="128"/>
      <c r="T5" s="129"/>
      <c r="U5" s="128"/>
      <c r="V5" s="128"/>
    </row>
    <row r="6" spans="2:33" ht="23.4" thickBot="1" x14ac:dyDescent="0.45">
      <c r="B6" s="130" t="s">
        <v>431</v>
      </c>
      <c r="C6" s="128"/>
      <c r="D6" s="128"/>
      <c r="E6" s="128"/>
      <c r="F6" s="128"/>
      <c r="G6" s="127"/>
      <c r="H6" s="128"/>
      <c r="I6" s="128"/>
      <c r="J6" s="128"/>
      <c r="K6" s="128"/>
      <c r="L6" s="128"/>
      <c r="M6" s="128"/>
      <c r="N6" s="128"/>
      <c r="O6" s="128"/>
      <c r="P6" s="128"/>
      <c r="Q6" s="128"/>
      <c r="R6" s="128"/>
      <c r="S6" s="128"/>
      <c r="T6" s="128"/>
      <c r="U6" s="128"/>
      <c r="V6" s="128"/>
    </row>
    <row r="7" spans="2:33" ht="17.399999999999999" x14ac:dyDescent="0.3">
      <c r="B7" s="474" t="s">
        <v>84</v>
      </c>
      <c r="C7" s="475"/>
      <c r="D7" s="475"/>
      <c r="E7" s="506"/>
      <c r="F7" s="507"/>
      <c r="G7" s="507"/>
      <c r="H7" s="507"/>
      <c r="I7" s="507"/>
      <c r="J7" s="508"/>
      <c r="K7" s="131"/>
      <c r="L7" s="131"/>
      <c r="M7" s="131"/>
      <c r="N7" s="131"/>
      <c r="O7" s="131"/>
      <c r="P7" s="131"/>
      <c r="Q7" s="131"/>
      <c r="R7" s="131"/>
      <c r="S7" s="131"/>
      <c r="T7" s="131"/>
      <c r="U7" s="127"/>
      <c r="V7" s="127"/>
      <c r="W7"/>
      <c r="X7" s="132"/>
    </row>
    <row r="8" spans="2:33" ht="17.399999999999999" x14ac:dyDescent="0.3">
      <c r="B8" s="479" t="s">
        <v>85</v>
      </c>
      <c r="C8" s="480"/>
      <c r="D8" s="480"/>
      <c r="E8" s="509"/>
      <c r="F8" s="510"/>
      <c r="G8" s="510"/>
      <c r="H8" s="510"/>
      <c r="I8" s="510"/>
      <c r="J8" s="511"/>
      <c r="K8" s="131"/>
      <c r="L8" s="131"/>
      <c r="M8" s="131"/>
      <c r="N8" s="131"/>
      <c r="O8" s="131"/>
      <c r="P8" s="131"/>
      <c r="Q8" s="131"/>
      <c r="R8" s="131"/>
      <c r="S8" s="131"/>
      <c r="T8" s="131"/>
      <c r="U8" s="127"/>
      <c r="V8" s="127"/>
      <c r="W8"/>
      <c r="X8" s="132"/>
    </row>
    <row r="9" spans="2:33" ht="17.399999999999999" x14ac:dyDescent="0.3">
      <c r="B9" s="479" t="s">
        <v>86</v>
      </c>
      <c r="C9" s="480"/>
      <c r="D9" s="480"/>
      <c r="E9" s="512"/>
      <c r="F9" s="513"/>
      <c r="G9" s="513"/>
      <c r="H9" s="513"/>
      <c r="I9" s="513"/>
      <c r="J9" s="514"/>
      <c r="K9" s="131"/>
      <c r="L9" s="131"/>
      <c r="M9" s="131"/>
      <c r="N9" s="131"/>
      <c r="O9" s="131"/>
      <c r="P9" s="131"/>
      <c r="Q9" s="131"/>
      <c r="R9" s="131"/>
      <c r="S9" s="131"/>
      <c r="T9" s="131"/>
      <c r="U9" s="127"/>
      <c r="V9" s="127"/>
    </row>
    <row r="10" spans="2:33" ht="17.399999999999999" x14ac:dyDescent="0.3">
      <c r="B10" s="479" t="s">
        <v>106</v>
      </c>
      <c r="C10" s="480"/>
      <c r="D10" s="480"/>
      <c r="E10" s="512"/>
      <c r="F10" s="513"/>
      <c r="G10" s="513"/>
      <c r="H10" s="513"/>
      <c r="I10" s="513"/>
      <c r="J10" s="514"/>
      <c r="K10" s="131"/>
      <c r="L10" s="131"/>
      <c r="M10" s="131"/>
      <c r="N10" s="131"/>
      <c r="O10" s="131"/>
      <c r="P10" s="131"/>
      <c r="Q10" s="131"/>
      <c r="R10" s="131"/>
      <c r="S10" s="131"/>
      <c r="T10" s="131"/>
      <c r="U10" s="127"/>
      <c r="V10" s="127"/>
    </row>
    <row r="11" spans="2:33" ht="18" thickBot="1" x14ac:dyDescent="0.35">
      <c r="B11" s="487" t="s">
        <v>329</v>
      </c>
      <c r="C11" s="488"/>
      <c r="D11" s="489"/>
      <c r="E11" s="515"/>
      <c r="F11" s="516"/>
      <c r="G11" s="516"/>
      <c r="H11" s="516"/>
      <c r="I11" s="516"/>
      <c r="J11" s="517"/>
      <c r="K11" s="131"/>
      <c r="L11" s="131"/>
      <c r="M11" s="131"/>
      <c r="N11" s="131"/>
      <c r="O11" s="131"/>
      <c r="P11" s="131"/>
      <c r="Q11" s="131"/>
      <c r="R11" s="131"/>
      <c r="S11" s="131"/>
      <c r="T11" s="131"/>
      <c r="U11" s="127"/>
      <c r="V11" s="127"/>
    </row>
    <row r="12" spans="2:33" ht="17.399999999999999" x14ac:dyDescent="0.3">
      <c r="B12" s="133"/>
      <c r="C12"/>
      <c r="D12" s="133"/>
      <c r="E12"/>
      <c r="F12" s="134"/>
      <c r="G12"/>
      <c r="H12"/>
      <c r="I12"/>
      <c r="J12"/>
      <c r="K12"/>
      <c r="L12"/>
      <c r="M12"/>
      <c r="N12"/>
      <c r="O12"/>
      <c r="P12"/>
      <c r="Q12"/>
      <c r="R12"/>
      <c r="S12"/>
      <c r="T12"/>
      <c r="U12" s="127"/>
      <c r="V12" s="127"/>
      <c r="W12"/>
      <c r="X12" s="132"/>
    </row>
    <row r="13" spans="2:33" ht="17.399999999999999" x14ac:dyDescent="0.3">
      <c r="B13" s="135" t="s">
        <v>87</v>
      </c>
      <c r="C13"/>
      <c r="D13" s="133"/>
      <c r="E13"/>
      <c r="F13" s="134"/>
      <c r="G13"/>
      <c r="H13"/>
      <c r="I13"/>
      <c r="J13"/>
      <c r="K13"/>
      <c r="L13"/>
      <c r="M13"/>
      <c r="N13"/>
      <c r="O13"/>
      <c r="P13"/>
      <c r="Q13"/>
      <c r="R13"/>
      <c r="S13"/>
      <c r="T13"/>
      <c r="U13" s="127"/>
      <c r="V13" s="127"/>
      <c r="W13"/>
      <c r="X13" s="132"/>
      <c r="Z13" s="136"/>
      <c r="AA13" s="136"/>
      <c r="AB13" s="136"/>
      <c r="AC13" s="136"/>
      <c r="AD13" s="136"/>
      <c r="AE13" s="136"/>
      <c r="AF13" s="136"/>
      <c r="AG13" s="136"/>
    </row>
    <row r="14" spans="2:33" ht="17.399999999999999" x14ac:dyDescent="0.3">
      <c r="B14" s="135" t="s">
        <v>181</v>
      </c>
      <c r="C14"/>
      <c r="D14" s="133"/>
      <c r="E14"/>
      <c r="F14" s="134"/>
      <c r="G14"/>
      <c r="H14"/>
      <c r="I14"/>
      <c r="J14"/>
      <c r="K14"/>
      <c r="L14"/>
      <c r="M14"/>
      <c r="N14"/>
      <c r="O14"/>
      <c r="P14"/>
      <c r="Q14"/>
      <c r="R14"/>
      <c r="S14"/>
      <c r="T14"/>
      <c r="U14" s="127"/>
      <c r="V14" s="127"/>
      <c r="W14"/>
      <c r="X14" s="132"/>
      <c r="Z14" s="136"/>
      <c r="AA14" s="136"/>
      <c r="AB14" s="136"/>
      <c r="AC14" s="136"/>
      <c r="AD14" s="136"/>
      <c r="AE14" s="136"/>
      <c r="AF14" s="136"/>
      <c r="AG14" s="136"/>
    </row>
    <row r="15" spans="2:33" ht="17.399999999999999" x14ac:dyDescent="0.3">
      <c r="B15" s="135" t="s">
        <v>273</v>
      </c>
      <c r="C15"/>
      <c r="D15" s="133"/>
      <c r="E15"/>
      <c r="F15" s="134"/>
      <c r="G15"/>
      <c r="H15"/>
      <c r="I15"/>
      <c r="J15"/>
      <c r="K15"/>
      <c r="L15"/>
      <c r="M15"/>
      <c r="N15"/>
      <c r="O15"/>
      <c r="P15"/>
      <c r="Q15"/>
      <c r="R15"/>
      <c r="S15"/>
      <c r="T15"/>
      <c r="U15" s="127"/>
      <c r="V15" s="127"/>
      <c r="W15"/>
      <c r="X15" s="132"/>
      <c r="Z15" s="136"/>
      <c r="AA15" s="136"/>
      <c r="AB15" s="136"/>
      <c r="AC15" s="136"/>
      <c r="AD15" s="136"/>
      <c r="AE15" s="136"/>
      <c r="AF15" s="136"/>
      <c r="AG15" s="136"/>
    </row>
    <row r="16" spans="2:33" ht="27" customHeight="1" x14ac:dyDescent="0.3">
      <c r="B16" s="130">
        <v>1</v>
      </c>
      <c r="C16" s="25" t="s">
        <v>325</v>
      </c>
      <c r="D16" s="133"/>
      <c r="E16"/>
      <c r="F16" s="134"/>
      <c r="G16"/>
      <c r="H16"/>
      <c r="I16"/>
      <c r="J16"/>
      <c r="K16"/>
      <c r="M16"/>
      <c r="N16"/>
      <c r="O16"/>
      <c r="P16"/>
      <c r="Q16"/>
      <c r="R16"/>
      <c r="S16"/>
      <c r="T16"/>
      <c r="U16" s="127"/>
      <c r="V16" s="127"/>
      <c r="W16"/>
      <c r="X16" s="132"/>
      <c r="Z16" s="136"/>
      <c r="AA16" s="136"/>
      <c r="AB16" s="136"/>
      <c r="AC16" s="136"/>
      <c r="AD16" s="136"/>
      <c r="AE16" s="136"/>
      <c r="AF16" s="136"/>
      <c r="AG16" s="136"/>
    </row>
    <row r="17" spans="1:33" ht="18" customHeight="1" x14ac:dyDescent="0.3">
      <c r="B17" s="133">
        <v>2</v>
      </c>
      <c r="C17" s="137" t="s">
        <v>326</v>
      </c>
      <c r="D17" s="133"/>
      <c r="E17"/>
      <c r="F17"/>
      <c r="G17"/>
      <c r="H17"/>
      <c r="I17"/>
      <c r="J17"/>
      <c r="K17"/>
      <c r="M17"/>
      <c r="N17"/>
      <c r="O17"/>
      <c r="P17"/>
      <c r="Q17"/>
      <c r="R17"/>
      <c r="S17"/>
      <c r="T17"/>
      <c r="U17" s="127"/>
      <c r="V17" s="127"/>
      <c r="W17"/>
      <c r="X17" s="132"/>
      <c r="Z17" s="136"/>
      <c r="AA17" s="136"/>
      <c r="AB17" s="136"/>
      <c r="AC17" s="136"/>
      <c r="AD17" s="136"/>
      <c r="AE17" s="136"/>
      <c r="AF17" s="136"/>
      <c r="AG17" s="136"/>
    </row>
    <row r="18" spans="1:33" ht="18" customHeight="1" x14ac:dyDescent="0.3">
      <c r="B18" s="133">
        <v>3</v>
      </c>
      <c r="C18" s="137" t="s">
        <v>402</v>
      </c>
      <c r="D18" s="133"/>
      <c r="E18"/>
      <c r="F18"/>
      <c r="G18"/>
      <c r="H18"/>
      <c r="I18"/>
      <c r="J18"/>
      <c r="K18"/>
      <c r="L18"/>
      <c r="M18"/>
      <c r="N18"/>
      <c r="O18"/>
      <c r="P18"/>
      <c r="Q18"/>
      <c r="R18"/>
      <c r="S18"/>
      <c r="T18"/>
      <c r="U18" s="127"/>
      <c r="V18" s="127"/>
      <c r="W18"/>
      <c r="X18" s="132"/>
      <c r="Z18" s="136"/>
      <c r="AA18" s="136"/>
      <c r="AB18" s="136"/>
      <c r="AC18" s="136"/>
      <c r="AD18" s="136"/>
      <c r="AE18" s="136"/>
      <c r="AF18" s="136"/>
      <c r="AG18" s="136"/>
    </row>
    <row r="19" spans="1:33" ht="17.399999999999999" x14ac:dyDescent="0.3">
      <c r="B19" s="133"/>
      <c r="C19" s="493" t="s">
        <v>258</v>
      </c>
      <c r="D19" s="494"/>
      <c r="E19" s="494"/>
      <c r="F19" s="494"/>
      <c r="G19" s="494"/>
      <c r="H19" s="494"/>
      <c r="I19" s="1"/>
      <c r="J19" s="1"/>
      <c r="K19"/>
      <c r="L19"/>
      <c r="M19"/>
      <c r="N19"/>
      <c r="O19"/>
      <c r="P19"/>
      <c r="Q19"/>
      <c r="R19"/>
      <c r="S19"/>
      <c r="T19"/>
      <c r="U19" s="127"/>
      <c r="V19" s="127"/>
      <c r="W19"/>
      <c r="X19" s="132"/>
      <c r="Z19" s="136"/>
      <c r="AA19" s="136"/>
      <c r="AB19" s="136"/>
      <c r="AC19" s="136"/>
      <c r="AD19" s="136"/>
      <c r="AE19" s="136"/>
      <c r="AF19" s="136"/>
      <c r="AG19" s="136"/>
    </row>
    <row r="20" spans="1:33" ht="52.2" customHeight="1" x14ac:dyDescent="0.3">
      <c r="B20" s="133"/>
      <c r="C20" s="494"/>
      <c r="D20" s="494"/>
      <c r="E20" s="494"/>
      <c r="F20" s="494"/>
      <c r="G20" s="494"/>
      <c r="H20" s="494"/>
      <c r="I20" s="1"/>
      <c r="J20" s="1"/>
      <c r="K20"/>
      <c r="L20"/>
      <c r="M20"/>
      <c r="N20"/>
      <c r="O20"/>
      <c r="P20"/>
      <c r="Q20"/>
      <c r="R20"/>
      <c r="S20"/>
      <c r="T20"/>
      <c r="U20" s="127"/>
      <c r="V20" s="127"/>
      <c r="W20"/>
      <c r="X20" s="132"/>
      <c r="Z20" s="136"/>
      <c r="AA20" s="136"/>
      <c r="AB20" s="136"/>
      <c r="AC20" s="136"/>
      <c r="AD20" s="136"/>
      <c r="AE20" s="136"/>
      <c r="AF20" s="136"/>
      <c r="AG20" s="136"/>
    </row>
    <row r="21" spans="1:33" ht="18" customHeight="1" x14ac:dyDescent="0.3">
      <c r="B21" s="133">
        <v>4</v>
      </c>
      <c r="C21" s="137" t="s">
        <v>107</v>
      </c>
      <c r="D21" s="133"/>
      <c r="E21"/>
      <c r="F21"/>
      <c r="G21"/>
      <c r="H21"/>
      <c r="I21"/>
      <c r="J21"/>
      <c r="K21"/>
      <c r="L21"/>
      <c r="M21"/>
      <c r="N21"/>
      <c r="O21"/>
      <c r="P21"/>
      <c r="Q21"/>
      <c r="R21"/>
      <c r="S21"/>
      <c r="T21"/>
      <c r="U21" s="127"/>
      <c r="V21" s="127"/>
      <c r="W21"/>
      <c r="X21" s="132"/>
      <c r="Z21" s="136"/>
      <c r="AA21" s="136"/>
      <c r="AB21" s="136"/>
      <c r="AC21" s="136"/>
      <c r="AD21" s="136"/>
      <c r="AE21" s="136"/>
      <c r="AF21" s="136"/>
      <c r="AG21" s="136"/>
    </row>
    <row r="22" spans="1:33" ht="8.5500000000000007" customHeight="1" x14ac:dyDescent="0.3">
      <c r="B22" s="133"/>
      <c r="C22" s="137"/>
      <c r="D22" s="133"/>
      <c r="E22"/>
      <c r="F22"/>
      <c r="G22"/>
      <c r="H22"/>
      <c r="I22"/>
      <c r="J22"/>
      <c r="K22"/>
      <c r="L22"/>
      <c r="M22"/>
      <c r="N22"/>
      <c r="O22"/>
      <c r="P22"/>
      <c r="Q22"/>
      <c r="R22"/>
      <c r="S22"/>
      <c r="T22"/>
      <c r="U22" s="127"/>
      <c r="V22" s="127"/>
      <c r="W22"/>
      <c r="X22" s="132"/>
      <c r="Z22" s="136"/>
      <c r="AA22" s="136"/>
      <c r="AB22" s="136"/>
      <c r="AC22" s="136"/>
      <c r="AD22" s="136"/>
      <c r="AE22" s="136"/>
      <c r="AF22" s="136"/>
      <c r="AG22" s="136"/>
    </row>
    <row r="23" spans="1:33" ht="60.45" customHeight="1" thickBot="1" x14ac:dyDescent="0.35">
      <c r="A23" s="138"/>
      <c r="B23" s="138"/>
      <c r="C23" s="463" t="s">
        <v>373</v>
      </c>
      <c r="D23" s="464"/>
      <c r="E23" s="464"/>
      <c r="F23" s="464"/>
      <c r="G23" s="464"/>
      <c r="H23" s="139"/>
      <c r="I23" s="139"/>
      <c r="J23" s="140"/>
      <c r="K23" s="140"/>
      <c r="L23" s="140"/>
      <c r="M23" s="140"/>
      <c r="N23" s="140"/>
      <c r="O23" s="140"/>
      <c r="P23" s="140"/>
      <c r="Q23" s="141"/>
      <c r="R23" s="141"/>
      <c r="S23" s="142"/>
      <c r="T23" s="127"/>
      <c r="U23" s="127"/>
      <c r="V23" s="127"/>
      <c r="W23"/>
      <c r="X23" s="132"/>
      <c r="Z23" s="136"/>
      <c r="AA23" s="136"/>
      <c r="AB23" s="136"/>
      <c r="AC23" s="136"/>
      <c r="AD23" s="136"/>
      <c r="AE23" s="136"/>
      <c r="AF23" s="136"/>
      <c r="AG23" s="136"/>
    </row>
    <row r="24" spans="1:33" ht="18" customHeight="1" thickTop="1" x14ac:dyDescent="0.3">
      <c r="B24" s="133"/>
      <c r="C24" s="134"/>
      <c r="D24" s="133"/>
      <c r="E24"/>
      <c r="F24"/>
      <c r="G24"/>
      <c r="H24"/>
      <c r="I24"/>
      <c r="J24"/>
      <c r="K24"/>
      <c r="L24"/>
      <c r="M24"/>
      <c r="N24"/>
      <c r="O24"/>
      <c r="P24"/>
      <c r="Q24"/>
      <c r="R24"/>
      <c r="S24"/>
      <c r="T24"/>
      <c r="U24" s="127"/>
      <c r="V24" s="127"/>
      <c r="AC24" s="136"/>
      <c r="AD24" s="136"/>
      <c r="AE24" s="136"/>
      <c r="AF24" s="136"/>
      <c r="AG24" s="136"/>
    </row>
    <row r="25" spans="1:33" ht="15" customHeight="1" thickBot="1" x14ac:dyDescent="0.35">
      <c r="B25" s="443" t="s">
        <v>183</v>
      </c>
      <c r="C25" s="443"/>
      <c r="AC25" s="136"/>
      <c r="AD25" s="136"/>
      <c r="AE25" s="136"/>
      <c r="AF25" s="136"/>
      <c r="AG25" s="136"/>
    </row>
    <row r="26" spans="1:33" ht="15.75" customHeight="1" x14ac:dyDescent="0.3">
      <c r="C26" s="143" t="s">
        <v>124</v>
      </c>
      <c r="D26" s="221" t="s">
        <v>123</v>
      </c>
      <c r="E26" s="144" t="s">
        <v>69</v>
      </c>
      <c r="G26" s="145" t="s">
        <v>82</v>
      </c>
      <c r="H26" s="146"/>
      <c r="I26" s="147"/>
      <c r="J26" s="148"/>
      <c r="K26" s="11"/>
      <c r="L26" s="11"/>
      <c r="M26" s="11"/>
      <c r="N26" s="11"/>
      <c r="AB26" s="136"/>
      <c r="AC26" s="136"/>
      <c r="AD26" s="136"/>
      <c r="AE26" s="136"/>
      <c r="AF26" s="136"/>
    </row>
    <row r="27" spans="1:33" ht="33" customHeight="1" x14ac:dyDescent="0.3">
      <c r="C27" s="222" t="s">
        <v>1</v>
      </c>
      <c r="D27" s="223" t="s">
        <v>28</v>
      </c>
      <c r="E27" s="224"/>
      <c r="G27" s="149"/>
      <c r="H27" s="444" t="s">
        <v>160</v>
      </c>
      <c r="I27" s="445"/>
      <c r="J27" s="446"/>
      <c r="K27" s="11"/>
      <c r="L27" s="11"/>
      <c r="M27" s="11"/>
      <c r="N27" s="11"/>
      <c r="AB27" s="136"/>
      <c r="AC27" s="136"/>
      <c r="AD27" s="136"/>
      <c r="AE27" s="136"/>
      <c r="AF27" s="136"/>
    </row>
    <row r="28" spans="1:33" ht="33" customHeight="1" x14ac:dyDescent="0.3">
      <c r="B28" s="3"/>
      <c r="C28" s="225" t="s">
        <v>97</v>
      </c>
      <c r="D28" s="223" t="s">
        <v>114</v>
      </c>
      <c r="E28" s="224"/>
      <c r="G28" s="150"/>
      <c r="H28" s="447" t="s">
        <v>161</v>
      </c>
      <c r="I28" s="448"/>
      <c r="J28" s="449"/>
      <c r="K28" s="11"/>
      <c r="L28" s="11"/>
      <c r="M28" s="11"/>
      <c r="AB28" s="136"/>
      <c r="AC28" s="136"/>
      <c r="AD28" s="136"/>
      <c r="AE28" s="136"/>
      <c r="AF28" s="136"/>
    </row>
    <row r="29" spans="1:33" ht="33" customHeight="1" x14ac:dyDescent="0.4">
      <c r="B29" s="3"/>
      <c r="C29" s="222" t="s">
        <v>2</v>
      </c>
      <c r="D29" s="269" t="str">
        <f>VLOOKUP(D27,'Ref - Zone Districts'!B3:D31,2,FALSE)</f>
        <v>LZ1</v>
      </c>
      <c r="E29" s="224"/>
      <c r="G29" s="151"/>
      <c r="H29" s="444" t="s">
        <v>83</v>
      </c>
      <c r="I29" s="445"/>
      <c r="J29" s="446"/>
      <c r="K29" s="11"/>
      <c r="L29" s="11"/>
      <c r="M29" s="11"/>
      <c r="Q29" s="3"/>
      <c r="AB29" s="136"/>
      <c r="AC29" s="136"/>
      <c r="AD29" s="136"/>
      <c r="AE29" s="136"/>
      <c r="AF29" s="136"/>
    </row>
    <row r="30" spans="1:33" ht="33" customHeight="1" x14ac:dyDescent="0.3">
      <c r="B30" s="3"/>
      <c r="C30" s="222" t="s">
        <v>192</v>
      </c>
      <c r="D30" s="268">
        <f>VLOOKUP(D29,'Res - Ordinance Values'!B2:C6,2,FALSE)</f>
        <v>0.1</v>
      </c>
      <c r="E30" s="224" t="s">
        <v>89</v>
      </c>
      <c r="G30" s="152"/>
      <c r="H30" s="444" t="s">
        <v>91</v>
      </c>
      <c r="I30" s="445"/>
      <c r="J30" s="446"/>
      <c r="M30" s="2"/>
      <c r="N30" s="2"/>
      <c r="O30" s="11"/>
      <c r="Y30" s="136"/>
      <c r="Z30" s="136"/>
      <c r="AA30" s="136"/>
      <c r="AB30" s="136"/>
      <c r="AC30" s="136"/>
      <c r="AD30" s="136"/>
      <c r="AE30" s="136"/>
      <c r="AF30" s="136"/>
    </row>
    <row r="31" spans="1:33" ht="44.55" customHeight="1" x14ac:dyDescent="0.25">
      <c r="B31" s="3"/>
      <c r="C31" s="226" t="s">
        <v>167</v>
      </c>
      <c r="D31" s="227"/>
      <c r="E31" s="224"/>
      <c r="G31" s="153"/>
      <c r="H31" s="444" t="s">
        <v>92</v>
      </c>
      <c r="I31" s="450"/>
      <c r="J31" s="451"/>
      <c r="M31" s="2"/>
      <c r="O31" s="11"/>
      <c r="Q31" s="3"/>
      <c r="Y31" s="136"/>
      <c r="Z31" s="136"/>
      <c r="AA31" s="136"/>
      <c r="AB31" s="136"/>
      <c r="AC31" s="136"/>
      <c r="AD31" s="136"/>
      <c r="AE31" s="136"/>
      <c r="AF31" s="136"/>
    </row>
    <row r="32" spans="1:33" ht="33" customHeight="1" thickBot="1" x14ac:dyDescent="0.35">
      <c r="B32" s="3"/>
      <c r="C32" s="226" t="s">
        <v>172</v>
      </c>
      <c r="D32" s="268" t="str">
        <f>IF(OR(D31='Res - Ordinance Values'!B56,D31='Res - Ordinance Values'!B57),"No","Yes")</f>
        <v>Yes</v>
      </c>
      <c r="E32" s="224"/>
      <c r="G32" s="154" t="s">
        <v>179</v>
      </c>
      <c r="H32" s="452" t="s">
        <v>180</v>
      </c>
      <c r="I32" s="452"/>
      <c r="J32" s="453"/>
      <c r="M32" s="2"/>
      <c r="N32" s="2"/>
      <c r="O32" s="2"/>
      <c r="P32" s="2"/>
      <c r="Y32" s="136"/>
      <c r="Z32" s="136"/>
      <c r="AA32" s="136"/>
      <c r="AB32" s="136"/>
      <c r="AC32" s="136"/>
      <c r="AD32" s="136"/>
      <c r="AE32" s="136"/>
      <c r="AF32" s="136"/>
    </row>
    <row r="33" spans="1:32" ht="33" customHeight="1" thickBot="1" x14ac:dyDescent="0.35">
      <c r="B33" s="3"/>
      <c r="C33" s="222" t="s">
        <v>276</v>
      </c>
      <c r="D33" s="269" t="s">
        <v>96</v>
      </c>
      <c r="E33" s="224" t="s">
        <v>90</v>
      </c>
      <c r="K33"/>
      <c r="L33"/>
      <c r="M33"/>
      <c r="N33"/>
      <c r="O33"/>
      <c r="P33" s="2"/>
      <c r="Y33" s="136"/>
      <c r="Z33" s="136"/>
      <c r="AA33" s="136"/>
      <c r="AB33" s="136"/>
      <c r="AC33" s="136"/>
      <c r="AD33" s="136"/>
      <c r="AE33" s="136"/>
      <c r="AF33" s="136"/>
    </row>
    <row r="34" spans="1:32" ht="33" customHeight="1" x14ac:dyDescent="0.3">
      <c r="B34" s="3"/>
      <c r="C34" s="228" t="s">
        <v>68</v>
      </c>
      <c r="D34" s="236"/>
      <c r="E34" s="224" t="s">
        <v>5</v>
      </c>
      <c r="G34" s="454" t="s">
        <v>257</v>
      </c>
      <c r="H34" s="457" t="str">
        <f>IF('Res Parcel Fail Analysis'!E3&gt;0,"FAIL",IF(COUNTIFS(Project_Info[PASS/FAIL/EXISTING TO REMAIN],"=Existing to Remain",Project_Info[Errors],"&lt;&gt;.")&gt;0,"TEMP PASS","PASS"))</f>
        <v>PASS</v>
      </c>
      <c r="I34" s="459" t="s">
        <v>105</v>
      </c>
      <c r="J34" s="460" t="str">
        <f>IF(H34="PASS"," ",IF(H34="TEMP PASS","See warning (right)",_xlfn.TEXTJOIN(" ",TRUE,'Res Parcel Fail Analysis'!B3,'Res Parcel Fail Analysis'!B4,'Res Parcel Fail Analysis'!B5,'Res Parcel Fail Analysis'!B6,'Res Parcel Fail Analysis'!B7,'Res Parcel Fail Analysis'!B8,'Res Parcel Fail Analysis'!B9,'Res Parcel Fail Analysis'!B10,'Res Parcel Fail Analysis'!B11)))&amp;"."</f>
        <v xml:space="preserve"> .</v>
      </c>
      <c r="K34" s="438" t="str">
        <f>IF(H34="TEMP PASS","City of Aspen Land Use Code requires all fixtures, including existing or current, to comply with this new lighting code by December 15, 2028. Your current lighting plan leaves fixtures remaining that need to be fixed by this date.","")</f>
        <v/>
      </c>
      <c r="L34" s="439"/>
      <c r="M34" s="439"/>
      <c r="N34" s="439"/>
      <c r="O34" s="439"/>
      <c r="P34" s="176"/>
      <c r="Y34" s="136"/>
      <c r="Z34" s="136"/>
      <c r="AA34" s="136"/>
      <c r="AB34" s="136"/>
      <c r="AC34" s="136"/>
      <c r="AD34" s="136"/>
      <c r="AE34" s="136"/>
      <c r="AF34" s="136"/>
    </row>
    <row r="35" spans="1:32" ht="33" customHeight="1" x14ac:dyDescent="0.3">
      <c r="B35" s="3"/>
      <c r="C35" s="228" t="s">
        <v>256</v>
      </c>
      <c r="D35" s="223"/>
      <c r="E35" s="224" t="s">
        <v>69</v>
      </c>
      <c r="G35" s="455"/>
      <c r="H35" s="430"/>
      <c r="I35" s="429"/>
      <c r="J35" s="461"/>
      <c r="K35" s="438"/>
      <c r="L35" s="439"/>
      <c r="M35" s="439"/>
      <c r="N35" s="439"/>
      <c r="O35" s="439"/>
      <c r="P35" s="176"/>
      <c r="Y35" s="136"/>
      <c r="Z35" s="136"/>
      <c r="AA35" s="136"/>
      <c r="AB35" s="136"/>
      <c r="AC35" s="136"/>
      <c r="AD35" s="136"/>
      <c r="AE35" s="136"/>
      <c r="AF35" s="136"/>
    </row>
    <row r="36" spans="1:32" ht="42.75" customHeight="1" x14ac:dyDescent="0.3">
      <c r="B36" s="3"/>
      <c r="C36" s="226" t="s">
        <v>166</v>
      </c>
      <c r="D36" s="229"/>
      <c r="E36" s="224" t="s">
        <v>8</v>
      </c>
      <c r="G36" s="455"/>
      <c r="H36" s="429"/>
      <c r="I36" s="429"/>
      <c r="J36" s="461"/>
      <c r="K36" s="438"/>
      <c r="L36" s="439"/>
      <c r="M36" s="439"/>
      <c r="N36" s="439"/>
      <c r="O36" s="439"/>
      <c r="P36" s="176"/>
      <c r="Y36" s="136"/>
      <c r="Z36" s="136"/>
      <c r="AA36" s="136"/>
      <c r="AB36" s="136"/>
      <c r="AC36" s="136"/>
      <c r="AD36" s="136"/>
      <c r="AE36" s="136"/>
      <c r="AF36" s="136"/>
    </row>
    <row r="37" spans="1:32" ht="33" customHeight="1" thickBot="1" x14ac:dyDescent="0.35">
      <c r="B37" s="3"/>
      <c r="C37" s="230" t="s">
        <v>274</v>
      </c>
      <c r="D37" s="416">
        <f>LOOKUP('Res Compliance Calculator'!D29,'Res - Ordinance Values'!B3:C6)</f>
        <v>0.1</v>
      </c>
      <c r="E37" s="417" t="s">
        <v>89</v>
      </c>
      <c r="G37" s="456"/>
      <c r="H37" s="458"/>
      <c r="I37" s="458"/>
      <c r="J37" s="462"/>
      <c r="K37" s="438"/>
      <c r="L37" s="439"/>
      <c r="M37" s="439"/>
      <c r="N37" s="439"/>
      <c r="O37" s="439"/>
      <c r="P37" s="176"/>
    </row>
    <row r="38" spans="1:32" ht="87" customHeight="1" thickBot="1" x14ac:dyDescent="0.35">
      <c r="B38" s="3"/>
      <c r="C38" s="495" t="s">
        <v>426</v>
      </c>
      <c r="D38" s="496"/>
      <c r="E38" s="497"/>
      <c r="G38" s="440" t="s">
        <v>197</v>
      </c>
      <c r="H38" s="441"/>
      <c r="I38" s="441"/>
      <c r="J38" s="442"/>
      <c r="K38" s="438"/>
      <c r="L38" s="439"/>
      <c r="M38" s="439"/>
      <c r="N38" s="439"/>
      <c r="O38" s="439"/>
      <c r="P38" s="176"/>
    </row>
    <row r="39" spans="1:32" ht="119.55" customHeight="1" x14ac:dyDescent="0.3">
      <c r="B39" s="3"/>
      <c r="C39" s="498"/>
      <c r="D39" s="498"/>
      <c r="E39" s="498"/>
      <c r="G39" s="11"/>
      <c r="H39" s="11"/>
      <c r="I39" s="11"/>
      <c r="K39" s="105"/>
      <c r="L39" s="155"/>
      <c r="M39" s="155"/>
      <c r="O39" s="155"/>
      <c r="P39" s="2"/>
    </row>
    <row r="40" spans="1:32" ht="52.8" customHeight="1" thickBot="1" x14ac:dyDescent="0.35">
      <c r="A40" s="328"/>
      <c r="B40" s="328"/>
      <c r="C40" s="328"/>
      <c r="D40" s="328"/>
      <c r="E40" s="328"/>
      <c r="F40" s="328"/>
      <c r="G40" s="328"/>
      <c r="H40" s="328"/>
      <c r="I40" s="328"/>
      <c r="J40" s="328"/>
      <c r="K40" s="328"/>
      <c r="L40" s="328"/>
      <c r="M40" s="328"/>
      <c r="N40" s="328"/>
      <c r="O40" s="328"/>
      <c r="P40" s="328"/>
      <c r="Q40" s="328"/>
      <c r="R40" s="328"/>
      <c r="S40" s="328"/>
    </row>
    <row r="41" spans="1:32" ht="13.05" customHeight="1" thickTop="1" thickBot="1" x14ac:dyDescent="0.35">
      <c r="A41" s="330"/>
      <c r="B41" s="330"/>
      <c r="C41" s="330"/>
      <c r="D41" s="330"/>
      <c r="E41" s="330"/>
      <c r="F41" s="330"/>
      <c r="G41" s="330"/>
      <c r="H41" s="330"/>
      <c r="I41" s="330"/>
      <c r="J41" s="330"/>
      <c r="K41" s="330"/>
      <c r="L41" s="330"/>
      <c r="M41" s="330"/>
      <c r="N41" s="330"/>
      <c r="O41" s="330"/>
      <c r="P41" s="330"/>
      <c r="Q41" s="330"/>
      <c r="R41" s="330"/>
      <c r="S41" s="330"/>
    </row>
    <row r="42" spans="1:32" ht="37.950000000000003" customHeight="1" thickTop="1" x14ac:dyDescent="0.3">
      <c r="B42" s="431" t="s">
        <v>316</v>
      </c>
      <c r="C42" s="431"/>
      <c r="L42" s="3"/>
    </row>
    <row r="43" spans="1:32" ht="31.2" customHeight="1" x14ac:dyDescent="0.3">
      <c r="B43" s="157"/>
      <c r="C43" s="432" t="s">
        <v>331</v>
      </c>
      <c r="D43" s="429"/>
      <c r="E43" s="429"/>
      <c r="F43" s="429"/>
      <c r="G43" s="429"/>
      <c r="H43" s="429"/>
      <c r="L43" s="3"/>
    </row>
    <row r="44" spans="1:32" x14ac:dyDescent="0.3">
      <c r="B44" s="157"/>
      <c r="C44" s="156" t="s">
        <v>132</v>
      </c>
      <c r="L44" s="3"/>
    </row>
    <row r="45" spans="1:32" x14ac:dyDescent="0.3">
      <c r="B45" s="157"/>
      <c r="C45" s="156" t="s">
        <v>162</v>
      </c>
      <c r="L45" s="3"/>
    </row>
    <row r="46" spans="1:32" x14ac:dyDescent="0.3">
      <c r="B46" s="157"/>
      <c r="C46" s="433" t="s">
        <v>184</v>
      </c>
      <c r="D46" s="433"/>
      <c r="E46" s="433"/>
      <c r="F46" s="433"/>
      <c r="G46" s="433"/>
      <c r="H46" s="433"/>
      <c r="L46" s="3"/>
    </row>
    <row r="47" spans="1:32" x14ac:dyDescent="0.3">
      <c r="B47" s="157"/>
      <c r="C47" s="433"/>
      <c r="D47" s="433"/>
      <c r="E47" s="433"/>
      <c r="F47" s="433"/>
      <c r="G47" s="433"/>
      <c r="H47" s="433"/>
      <c r="L47" s="3"/>
    </row>
    <row r="48" spans="1:32" ht="35.549999999999997" customHeight="1" x14ac:dyDescent="0.3">
      <c r="B48" s="157"/>
      <c r="C48" s="433"/>
      <c r="D48" s="433"/>
      <c r="E48" s="433"/>
      <c r="F48" s="433"/>
      <c r="G48" s="433"/>
      <c r="H48" s="433"/>
    </row>
    <row r="49" spans="1:19" ht="28.5" customHeight="1" x14ac:dyDescent="0.3">
      <c r="B49" s="157"/>
      <c r="C49" s="433" t="s">
        <v>281</v>
      </c>
      <c r="D49" s="433"/>
      <c r="E49" s="11"/>
      <c r="F49" s="11"/>
      <c r="G49" s="11"/>
      <c r="H49" s="11"/>
    </row>
    <row r="50" spans="1:19" x14ac:dyDescent="0.3">
      <c r="B50" s="157"/>
      <c r="C50" s="157"/>
    </row>
    <row r="51" spans="1:19" s="11" customFormat="1" ht="43.2" x14ac:dyDescent="0.3">
      <c r="B51" s="158"/>
      <c r="C51" s="32" t="s">
        <v>163</v>
      </c>
      <c r="D51" s="31" t="s">
        <v>333</v>
      </c>
      <c r="E51" s="31" t="s">
        <v>195</v>
      </c>
      <c r="F51" s="32" t="s">
        <v>3</v>
      </c>
      <c r="G51" s="32" t="s">
        <v>4</v>
      </c>
      <c r="H51" s="32" t="s">
        <v>6</v>
      </c>
      <c r="I51" s="32" t="s">
        <v>9</v>
      </c>
      <c r="J51" s="32" t="s">
        <v>148</v>
      </c>
      <c r="K51" s="32" t="s">
        <v>153</v>
      </c>
      <c r="L51" s="32" t="s">
        <v>152</v>
      </c>
      <c r="M51" s="32" t="s">
        <v>246</v>
      </c>
      <c r="N51" s="159" t="s">
        <v>70</v>
      </c>
    </row>
    <row r="52" spans="1:19" ht="27" customHeight="1" x14ac:dyDescent="0.3">
      <c r="B52" s="3"/>
      <c r="C52" s="79"/>
      <c r="D52" s="81" t="s">
        <v>334</v>
      </c>
      <c r="E52" s="81" t="s">
        <v>336</v>
      </c>
      <c r="F52" s="83"/>
      <c r="G52" s="54"/>
      <c r="H52" s="298">
        <f>Project_Info[[#This Row],[Quantity]]*Project_Info[[#This Row],[Lumens]]</f>
        <v>0</v>
      </c>
      <c r="I52" s="85"/>
      <c r="J52" s="54" t="s">
        <v>336</v>
      </c>
      <c r="K52" s="299" t="str">
        <f>IF(OR(Project_Info[[#This Row],[Mounting Type Fixture/Application]]=0,Project_Info[[#This Row],[Mounting Type Fixture/Application]]="Choose from dropdown"),"",VLOOKUP(Project_Info[[#This Row],[Mounting Type Fixture/Application]],'Res - Ordinance Values'!$B$9:$C$20,2,FALSE))</f>
        <v/>
      </c>
      <c r="L52" s="54"/>
      <c r="M52" s="313" t="str">
        <f>IF('Res - Proposed Fixture analysis'!U6="More info needed","More info needed",_xlfn.IFNA(IF(AND(Project_Info[[#This Row],[Proposed/Existing]]='Res - Proposed Fixture analysis'!$A$3,$D$76="No"),"Existing to Remain",'Res - Proposed Fixture analysis'!U6),""))</f>
        <v>More info needed</v>
      </c>
      <c r="N52" s="412" t="str">
        <f>_xlfn.IFNA(_xlfn.TEXTJOIN(" ",TRUE,'Res - Proposed Fixture analysis'!E6,'Res - Proposed Fixture analysis'!F6,'Res - Proposed Fixture analysis'!H6,'Res - Proposed Fixture analysis'!I6,'Res - Proposed Fixture analysis'!J6,'Res - Proposed Fixture analysis'!L6)&amp;".","")</f>
        <v>.</v>
      </c>
      <c r="O52" s="2"/>
      <c r="P52" s="2"/>
    </row>
    <row r="53" spans="1:19" x14ac:dyDescent="0.3">
      <c r="C53" s="79"/>
      <c r="D53" s="81"/>
      <c r="E53" s="81"/>
      <c r="F53" s="83"/>
      <c r="G53" s="54"/>
      <c r="H53" s="298">
        <f>Project_Info[[#This Row],[Quantity]]*Project_Info[[#This Row],[Lumens]]</f>
        <v>0</v>
      </c>
      <c r="I53" s="85"/>
      <c r="J53" s="54"/>
      <c r="K53" s="299" t="str">
        <f>IF(OR(Project_Info[[#This Row],[Mounting Type Fixture/Application]]=0,Project_Info[[#This Row],[Mounting Type Fixture/Application]]="Choose from dropdown"),"",VLOOKUP(Project_Info[[#This Row],[Mounting Type Fixture/Application]],'Res - Ordinance Values'!$B$9:$C$20,2,FALSE))</f>
        <v/>
      </c>
      <c r="L53" s="54"/>
      <c r="M53" s="313" t="str">
        <f>IF('Res - Proposed Fixture analysis'!U7="More info needed","More info needed",_xlfn.IFNA(IF(AND(Project_Info[[#This Row],[Proposed/Existing]]='Res - Proposed Fixture analysis'!$A$3,$D$76="No"),"Existing to Remain",'Res - Proposed Fixture analysis'!U7),""))</f>
        <v>More info needed</v>
      </c>
      <c r="N53" s="412" t="str">
        <f>_xlfn.IFNA(_xlfn.TEXTJOIN(" ",TRUE,'Res - Proposed Fixture analysis'!E7,'Res - Proposed Fixture analysis'!F7,'Res - Proposed Fixture analysis'!H7,'Res - Proposed Fixture analysis'!I7,'Res - Proposed Fixture analysis'!J7,'Res - Proposed Fixture analysis'!L7)&amp;".","")</f>
        <v>.</v>
      </c>
      <c r="O53" s="2"/>
      <c r="P53" s="2"/>
    </row>
    <row r="54" spans="1:19" x14ac:dyDescent="0.3">
      <c r="C54" s="79"/>
      <c r="D54" s="81"/>
      <c r="E54" s="81"/>
      <c r="F54" s="83"/>
      <c r="G54" s="54"/>
      <c r="H54" s="298">
        <f>Project_Info[[#This Row],[Quantity]]*Project_Info[[#This Row],[Lumens]]</f>
        <v>0</v>
      </c>
      <c r="I54" s="85"/>
      <c r="J54" s="54"/>
      <c r="K54" s="299" t="str">
        <f>IF(OR(Project_Info[[#This Row],[Mounting Type Fixture/Application]]=0,Project_Info[[#This Row],[Mounting Type Fixture/Application]]="Choose from dropdown"),"",VLOOKUP(Project_Info[[#This Row],[Mounting Type Fixture/Application]],'Res - Ordinance Values'!$B$9:$C$20,2,FALSE))</f>
        <v/>
      </c>
      <c r="L54" s="54"/>
      <c r="M54" s="313" t="str">
        <f>IF('Res - Proposed Fixture analysis'!U8="More info needed","More info needed",_xlfn.IFNA(IF(AND(Project_Info[[#This Row],[Proposed/Existing]]='Res - Proposed Fixture analysis'!$A$3,$D$76="No"),"Existing to Remain",'Res - Proposed Fixture analysis'!U8),""))</f>
        <v>More info needed</v>
      </c>
      <c r="N54" s="412" t="str">
        <f>_xlfn.IFNA(_xlfn.TEXTJOIN(" ",TRUE,'Res - Proposed Fixture analysis'!E8,'Res - Proposed Fixture analysis'!F8,'Res - Proposed Fixture analysis'!H8,'Res - Proposed Fixture analysis'!I8,'Res - Proposed Fixture analysis'!J8,'Res - Proposed Fixture analysis'!L8)&amp;".","")</f>
        <v>.</v>
      </c>
      <c r="O54" s="2"/>
      <c r="P54" s="2"/>
    </row>
    <row r="55" spans="1:19" x14ac:dyDescent="0.3">
      <c r="C55" s="79"/>
      <c r="D55" s="81"/>
      <c r="E55" s="81"/>
      <c r="F55" s="83"/>
      <c r="G55" s="54"/>
      <c r="H55" s="298">
        <f>Project_Info[[#This Row],[Quantity]]*Project_Info[[#This Row],[Lumens]]</f>
        <v>0</v>
      </c>
      <c r="I55" s="85"/>
      <c r="J55" s="54"/>
      <c r="K55" s="299" t="str">
        <f>IF(OR(Project_Info[[#This Row],[Mounting Type Fixture/Application]]=0,Project_Info[[#This Row],[Mounting Type Fixture/Application]]="Choose from dropdown"),"",VLOOKUP(Project_Info[[#This Row],[Mounting Type Fixture/Application]],'Res - Ordinance Values'!$B$9:$C$20,2,FALSE))</f>
        <v/>
      </c>
      <c r="L55" s="54"/>
      <c r="M55" s="313" t="str">
        <f>IF('Res - Proposed Fixture analysis'!U9="More info needed","More info needed",_xlfn.IFNA(IF(AND(Project_Info[[#This Row],[Proposed/Existing]]='Res - Proposed Fixture analysis'!$A$3,$D$76="No"),"Existing to Remain",'Res - Proposed Fixture analysis'!U9),""))</f>
        <v>More info needed</v>
      </c>
      <c r="N55" s="412" t="str">
        <f>_xlfn.IFNA(_xlfn.TEXTJOIN(" ",TRUE,'Res - Proposed Fixture analysis'!E9,'Res - Proposed Fixture analysis'!F9,'Res - Proposed Fixture analysis'!H9,'Res - Proposed Fixture analysis'!I9,'Res - Proposed Fixture analysis'!J9,'Res - Proposed Fixture analysis'!L9)&amp;".","")</f>
        <v>.</v>
      </c>
      <c r="O55" s="2"/>
      <c r="P55" s="2"/>
    </row>
    <row r="56" spans="1:19" x14ac:dyDescent="0.3">
      <c r="C56" s="79"/>
      <c r="D56" s="81"/>
      <c r="E56" s="81"/>
      <c r="F56" s="83"/>
      <c r="G56" s="54"/>
      <c r="H56" s="298">
        <f>Project_Info[[#This Row],[Quantity]]*Project_Info[[#This Row],[Lumens]]</f>
        <v>0</v>
      </c>
      <c r="I56" s="85"/>
      <c r="J56" s="54"/>
      <c r="K56" s="299" t="str">
        <f>IF(OR(Project_Info[[#This Row],[Mounting Type Fixture/Application]]=0,Project_Info[[#This Row],[Mounting Type Fixture/Application]]="Choose from dropdown"),"",VLOOKUP(Project_Info[[#This Row],[Mounting Type Fixture/Application]],'Res - Ordinance Values'!$B$9:$C$20,2,FALSE))</f>
        <v/>
      </c>
      <c r="L56" s="54"/>
      <c r="M56" s="313" t="str">
        <f>IF('Res - Proposed Fixture analysis'!U10="More info needed","More info needed",_xlfn.IFNA(IF(AND(Project_Info[[#This Row],[Proposed/Existing]]='Res - Proposed Fixture analysis'!$A$3,$D$76="No"),"Existing to Remain",'Res - Proposed Fixture analysis'!U10),""))</f>
        <v>More info needed</v>
      </c>
      <c r="N56" s="412" t="str">
        <f>_xlfn.IFNA(_xlfn.TEXTJOIN(" ",TRUE,'Res - Proposed Fixture analysis'!E10,'Res - Proposed Fixture analysis'!F10,'Res - Proposed Fixture analysis'!H10,'Res - Proposed Fixture analysis'!I10,'Res - Proposed Fixture analysis'!J10,'Res - Proposed Fixture analysis'!L10)&amp;".","")</f>
        <v>.</v>
      </c>
      <c r="O56" s="2"/>
      <c r="P56" s="2"/>
    </row>
    <row r="57" spans="1:19" x14ac:dyDescent="0.3">
      <c r="C57" s="79"/>
      <c r="D57" s="81"/>
      <c r="E57" s="81"/>
      <c r="F57" s="83"/>
      <c r="G57" s="54"/>
      <c r="H57" s="298">
        <f>Project_Info[[#This Row],[Quantity]]*Project_Info[[#This Row],[Lumens]]</f>
        <v>0</v>
      </c>
      <c r="I57" s="85"/>
      <c r="J57" s="54"/>
      <c r="K57" s="299" t="str">
        <f>IF(OR(Project_Info[[#This Row],[Mounting Type Fixture/Application]]=0,Project_Info[[#This Row],[Mounting Type Fixture/Application]]="Choose from dropdown"),"",VLOOKUP(Project_Info[[#This Row],[Mounting Type Fixture/Application]],'Res - Ordinance Values'!$B$9:$C$20,2,FALSE))</f>
        <v/>
      </c>
      <c r="L57" s="54"/>
      <c r="M57" s="313" t="str">
        <f>IF('Res - Proposed Fixture analysis'!U11="More info needed","More info needed",_xlfn.IFNA(IF(AND(Project_Info[[#This Row],[Proposed/Existing]]='Res - Proposed Fixture analysis'!$A$3,$D$76="No"),"Existing to Remain",'Res - Proposed Fixture analysis'!U11),""))</f>
        <v>More info needed</v>
      </c>
      <c r="N57" s="412" t="str">
        <f>_xlfn.IFNA(_xlfn.TEXTJOIN(" ",TRUE,'Res - Proposed Fixture analysis'!E11,'Res - Proposed Fixture analysis'!F11,'Res - Proposed Fixture analysis'!H11,'Res - Proposed Fixture analysis'!I11,'Res - Proposed Fixture analysis'!J11,'Res - Proposed Fixture analysis'!L11)&amp;".","")</f>
        <v>.</v>
      </c>
      <c r="O57" s="2"/>
      <c r="P57" s="2"/>
    </row>
    <row r="58" spans="1:19" x14ac:dyDescent="0.3">
      <c r="C58" s="79"/>
      <c r="D58" s="81"/>
      <c r="E58" s="81"/>
      <c r="F58" s="83"/>
      <c r="G58" s="54"/>
      <c r="H58" s="298">
        <f>Project_Info[[#This Row],[Quantity]]*Project_Info[[#This Row],[Lumens]]</f>
        <v>0</v>
      </c>
      <c r="I58" s="85"/>
      <c r="J58" s="54"/>
      <c r="K58" s="299" t="str">
        <f>IF(OR(Project_Info[[#This Row],[Mounting Type Fixture/Application]]=0,Project_Info[[#This Row],[Mounting Type Fixture/Application]]="Choose from dropdown"),"",VLOOKUP(Project_Info[[#This Row],[Mounting Type Fixture/Application]],'Res - Ordinance Values'!$B$9:$C$20,2,FALSE))</f>
        <v/>
      </c>
      <c r="L58" s="54"/>
      <c r="M58" s="313" t="str">
        <f>IF('Res - Proposed Fixture analysis'!U12="More info needed","More info needed",_xlfn.IFNA(IF(AND(Project_Info[[#This Row],[Proposed/Existing]]='Res - Proposed Fixture analysis'!$A$3,$D$76="No"),"Existing to Remain",'Res - Proposed Fixture analysis'!U12),""))</f>
        <v>More info needed</v>
      </c>
      <c r="N58" s="412" t="str">
        <f>_xlfn.IFNA(_xlfn.TEXTJOIN(" ",TRUE,'Res - Proposed Fixture analysis'!E12,'Res - Proposed Fixture analysis'!F12,'Res - Proposed Fixture analysis'!H12,'Res - Proposed Fixture analysis'!I12,'Res - Proposed Fixture analysis'!J12,'Res - Proposed Fixture analysis'!L12)&amp;".","")</f>
        <v>.</v>
      </c>
      <c r="O58" s="2"/>
      <c r="P58" s="2"/>
    </row>
    <row r="59" spans="1:19" x14ac:dyDescent="0.3">
      <c r="C59" s="79"/>
      <c r="D59" s="81"/>
      <c r="E59" s="81"/>
      <c r="F59" s="83"/>
      <c r="G59" s="54"/>
      <c r="H59" s="298">
        <f>Project_Info[[#This Row],[Quantity]]*Project_Info[[#This Row],[Lumens]]</f>
        <v>0</v>
      </c>
      <c r="I59" s="85"/>
      <c r="J59" s="54"/>
      <c r="K59" s="299" t="str">
        <f>IF(OR(Project_Info[[#This Row],[Mounting Type Fixture/Application]]=0,Project_Info[[#This Row],[Mounting Type Fixture/Application]]="Choose from dropdown"),"",VLOOKUP(Project_Info[[#This Row],[Mounting Type Fixture/Application]],'Res - Ordinance Values'!$B$9:$C$20,2,FALSE))</f>
        <v/>
      </c>
      <c r="L59" s="54"/>
      <c r="M59" s="313" t="str">
        <f>IF('Res - Proposed Fixture analysis'!U13="More info needed","More info needed",_xlfn.IFNA(IF(AND(Project_Info[[#This Row],[Proposed/Existing]]='Res - Proposed Fixture analysis'!$A$3,$D$76="No"),"Existing to Remain",'Res - Proposed Fixture analysis'!U13),""))</f>
        <v>More info needed</v>
      </c>
      <c r="N59" s="412" t="str">
        <f>_xlfn.IFNA(_xlfn.TEXTJOIN(" ",TRUE,'Res - Proposed Fixture analysis'!E13,'Res - Proposed Fixture analysis'!F13,'Res - Proposed Fixture analysis'!H13,'Res - Proposed Fixture analysis'!I13,'Res - Proposed Fixture analysis'!J13,'Res - Proposed Fixture analysis'!L13)&amp;".","")</f>
        <v>.</v>
      </c>
      <c r="O59" s="2"/>
      <c r="P59" s="2"/>
    </row>
    <row r="60" spans="1:19" x14ac:dyDescent="0.3">
      <c r="C60" s="79"/>
      <c r="D60" s="81"/>
      <c r="E60" s="81"/>
      <c r="F60" s="83"/>
      <c r="G60" s="54"/>
      <c r="H60" s="298">
        <f>Project_Info[[#This Row],[Quantity]]*Project_Info[[#This Row],[Lumens]]</f>
        <v>0</v>
      </c>
      <c r="I60" s="85"/>
      <c r="J60" s="54"/>
      <c r="K60" s="299" t="str">
        <f>IF(OR(Project_Info[[#This Row],[Mounting Type Fixture/Application]]=0,Project_Info[[#This Row],[Mounting Type Fixture/Application]]="Choose from dropdown"),"",VLOOKUP(Project_Info[[#This Row],[Mounting Type Fixture/Application]],'Res - Ordinance Values'!$B$9:$C$20,2,FALSE))</f>
        <v/>
      </c>
      <c r="L60" s="54"/>
      <c r="M60" s="313" t="str">
        <f>IF('Res - Proposed Fixture analysis'!U14="More info needed","More info needed",_xlfn.IFNA(IF(AND(Project_Info[[#This Row],[Proposed/Existing]]='Res - Proposed Fixture analysis'!$A$3,$D$76="No"),"Existing to Remain",'Res - Proposed Fixture analysis'!U14),""))</f>
        <v>More info needed</v>
      </c>
      <c r="N60" s="412" t="str">
        <f>_xlfn.IFNA(_xlfn.TEXTJOIN(" ",TRUE,'Res - Proposed Fixture analysis'!E14,'Res - Proposed Fixture analysis'!F14,'Res - Proposed Fixture analysis'!H14,'Res - Proposed Fixture analysis'!I14,'Res - Proposed Fixture analysis'!J14,'Res - Proposed Fixture analysis'!L14)&amp;".","")</f>
        <v>.</v>
      </c>
      <c r="O60" s="2"/>
      <c r="P60" s="2"/>
    </row>
    <row r="61" spans="1:19" x14ac:dyDescent="0.3">
      <c r="C61" s="79"/>
      <c r="D61" s="81"/>
      <c r="E61" s="81"/>
      <c r="F61" s="83"/>
      <c r="G61" s="54"/>
      <c r="H61" s="298">
        <f>Project_Info[[#This Row],[Quantity]]*Project_Info[[#This Row],[Lumens]]</f>
        <v>0</v>
      </c>
      <c r="I61" s="85"/>
      <c r="J61" s="54"/>
      <c r="K61" s="299" t="str">
        <f>IF(OR(Project_Info[[#This Row],[Mounting Type Fixture/Application]]=0,Project_Info[[#This Row],[Mounting Type Fixture/Application]]="Choose from dropdown"),"",VLOOKUP(Project_Info[[#This Row],[Mounting Type Fixture/Application]],'Res - Ordinance Values'!$B$9:$C$20,2,FALSE))</f>
        <v/>
      </c>
      <c r="L61" s="54"/>
      <c r="M61" s="313" t="str">
        <f>IF('Res - Proposed Fixture analysis'!U15="More info needed","More info needed",_xlfn.IFNA(IF(AND(Project_Info[[#This Row],[Proposed/Existing]]='Res - Proposed Fixture analysis'!$A$3,$D$76="No"),"Existing to Remain",'Res - Proposed Fixture analysis'!U15),""))</f>
        <v>More info needed</v>
      </c>
      <c r="N61" s="412" t="str">
        <f>_xlfn.IFNA(_xlfn.TEXTJOIN(" ",TRUE,'Res - Proposed Fixture analysis'!E15,'Res - Proposed Fixture analysis'!F15,'Res - Proposed Fixture analysis'!H15,'Res - Proposed Fixture analysis'!I15,'Res - Proposed Fixture analysis'!J15,'Res - Proposed Fixture analysis'!L15)&amp;".","")</f>
        <v>.</v>
      </c>
      <c r="O61" s="2"/>
      <c r="P61" s="2"/>
    </row>
    <row r="62" spans="1:19" x14ac:dyDescent="0.3">
      <c r="C62" s="79"/>
      <c r="D62" s="81"/>
      <c r="E62" s="81"/>
      <c r="F62" s="83"/>
      <c r="G62" s="54"/>
      <c r="H62" s="298">
        <f>Project_Info[[#This Row],[Quantity]]*Project_Info[[#This Row],[Lumens]]</f>
        <v>0</v>
      </c>
      <c r="I62" s="85"/>
      <c r="J62" s="54"/>
      <c r="K62" s="299" t="str">
        <f>IF(OR(Project_Info[[#This Row],[Mounting Type Fixture/Application]]=0,Project_Info[[#This Row],[Mounting Type Fixture/Application]]="Choose from dropdown"),"",VLOOKUP(Project_Info[[#This Row],[Mounting Type Fixture/Application]],'Res - Ordinance Values'!$B$9:$C$20,2,FALSE))</f>
        <v/>
      </c>
      <c r="L62" s="54"/>
      <c r="M62" s="313" t="str">
        <f>IF('Res - Proposed Fixture analysis'!U16="More info needed","More info needed",_xlfn.IFNA(IF(AND(Project_Info[[#This Row],[Proposed/Existing]]='Res - Proposed Fixture analysis'!$A$3,$D$76="No"),"Existing to Remain",'Res - Proposed Fixture analysis'!U16),""))</f>
        <v>More info needed</v>
      </c>
      <c r="N62" s="412" t="str">
        <f>_xlfn.IFNA(_xlfn.TEXTJOIN(" ",TRUE,'Res - Proposed Fixture analysis'!E16,'Res - Proposed Fixture analysis'!F16,'Res - Proposed Fixture analysis'!H16,'Res - Proposed Fixture analysis'!I16,'Res - Proposed Fixture analysis'!J16,'Res - Proposed Fixture analysis'!L16)&amp;".","")</f>
        <v>.</v>
      </c>
      <c r="O62" s="2"/>
      <c r="P62" s="2"/>
    </row>
    <row r="63" spans="1:19" x14ac:dyDescent="0.3">
      <c r="C63" s="80"/>
      <c r="D63" s="81"/>
      <c r="E63" s="82"/>
      <c r="F63" s="84"/>
      <c r="G63" s="55"/>
      <c r="H63" s="298">
        <f>Project_Info[[#This Row],[Quantity]]*Project_Info[[#This Row],[Lumens]]</f>
        <v>0</v>
      </c>
      <c r="I63" s="86"/>
      <c r="J63" s="54"/>
      <c r="K63" s="299" t="str">
        <f>IF(OR(Project_Info[[#This Row],[Mounting Type Fixture/Application]]=0,Project_Info[[#This Row],[Mounting Type Fixture/Application]]="Choose from dropdown"),"",VLOOKUP(Project_Info[[#This Row],[Mounting Type Fixture/Application]],'Res - Ordinance Values'!$B$9:$C$20,2,FALSE))</f>
        <v/>
      </c>
      <c r="L63" s="55"/>
      <c r="M63" s="313" t="str">
        <f>IF('Res - Proposed Fixture analysis'!U17="More info needed","More info needed",_xlfn.IFNA(IF(AND(Project_Info[[#This Row],[Proposed/Existing]]='Res - Proposed Fixture analysis'!$A$3,$D$76="No"),"Existing to Remain",'Res - Proposed Fixture analysis'!U17),""))</f>
        <v>More info needed</v>
      </c>
      <c r="N63" s="412" t="str">
        <f>_xlfn.IFNA(_xlfn.TEXTJOIN(" ",TRUE,'Res - Proposed Fixture analysis'!E17,'Res - Proposed Fixture analysis'!F17,'Res - Proposed Fixture analysis'!H17,'Res - Proposed Fixture analysis'!I17,'Res - Proposed Fixture analysis'!J17,'Res - Proposed Fixture analysis'!L17)&amp;".","")</f>
        <v>.</v>
      </c>
      <c r="O63" s="2"/>
      <c r="P63" s="2"/>
    </row>
    <row r="64" spans="1:19" ht="22.05" customHeight="1" thickBot="1" x14ac:dyDescent="0.35">
      <c r="A64" s="328"/>
      <c r="B64" s="328"/>
      <c r="C64" s="328"/>
      <c r="D64" s="328"/>
      <c r="E64" s="328"/>
      <c r="F64" s="328"/>
      <c r="G64" s="328"/>
      <c r="H64" s="328"/>
      <c r="I64" s="328"/>
      <c r="J64" s="328"/>
      <c r="K64" s="328"/>
      <c r="L64" s="328"/>
      <c r="M64" s="328"/>
      <c r="N64" s="328"/>
      <c r="O64" s="328"/>
      <c r="P64" s="328"/>
      <c r="Q64" s="328"/>
      <c r="R64" s="328"/>
      <c r="S64" s="328"/>
    </row>
    <row r="65" spans="1:20" ht="31.05" customHeight="1" thickTop="1" x14ac:dyDescent="0.3">
      <c r="B65" s="93" t="s">
        <v>317</v>
      </c>
      <c r="C65"/>
    </row>
    <row r="66" spans="1:20" x14ac:dyDescent="0.3">
      <c r="C66" s="57"/>
    </row>
    <row r="67" spans="1:20" ht="15" thickBot="1" x14ac:dyDescent="0.35">
      <c r="C67" s="270" t="s">
        <v>124</v>
      </c>
      <c r="D67" s="287" t="s">
        <v>123</v>
      </c>
      <c r="E67" s="272" t="s">
        <v>120</v>
      </c>
      <c r="F67" s="272" t="s">
        <v>121</v>
      </c>
      <c r="G67" s="274" t="s">
        <v>122</v>
      </c>
      <c r="L67" s="160"/>
      <c r="M67" s="160"/>
      <c r="N67" s="160"/>
      <c r="O67" s="160"/>
      <c r="P67" s="160"/>
      <c r="Q67" s="160"/>
      <c r="S67" s="160"/>
      <c r="T67" s="160"/>
    </row>
    <row r="68" spans="1:20" x14ac:dyDescent="0.3">
      <c r="C68" s="288" t="s">
        <v>217</v>
      </c>
      <c r="D68" s="146">
        <f>IF(D29="LZ1",VLOOKUP(D34,LZ1_base[],2,TRUE),VLOOKUP(D34,LZ2_base[],2,TRUE))</f>
        <v>2700</v>
      </c>
      <c r="E68" s="289" t="s">
        <v>7</v>
      </c>
      <c r="F68" s="289"/>
      <c r="G68" s="290"/>
      <c r="L68" s="3"/>
      <c r="P68" s="2"/>
      <c r="R68" s="160"/>
    </row>
    <row r="69" spans="1:20" x14ac:dyDescent="0.3">
      <c r="C69" s="222" t="s">
        <v>94</v>
      </c>
      <c r="D69" s="240">
        <f>'Res Parcel Fail Analysis'!B26</f>
        <v>0</v>
      </c>
      <c r="E69" s="240" t="s">
        <v>7</v>
      </c>
      <c r="F69" s="240"/>
      <c r="G69" s="224"/>
      <c r="L69" s="3"/>
      <c r="P69" s="2"/>
    </row>
    <row r="70" spans="1:20" x14ac:dyDescent="0.3">
      <c r="C70" s="222" t="s">
        <v>118</v>
      </c>
      <c r="D70" s="240">
        <f>D68+D69</f>
        <v>2700</v>
      </c>
      <c r="E70" s="240" t="s">
        <v>7</v>
      </c>
      <c r="F70" s="240"/>
      <c r="G70" s="224"/>
      <c r="L70" s="3"/>
      <c r="P70" s="2"/>
    </row>
    <row r="71" spans="1:20" ht="3.75" customHeight="1" x14ac:dyDescent="0.3">
      <c r="C71" s="291"/>
      <c r="D71" s="292"/>
      <c r="E71" s="293"/>
      <c r="F71" s="293"/>
      <c r="G71" s="294"/>
      <c r="L71" s="160"/>
      <c r="M71" s="160"/>
      <c r="O71" s="160"/>
      <c r="P71" s="160"/>
      <c r="Q71" s="160"/>
      <c r="S71" s="160"/>
      <c r="T71" s="160"/>
    </row>
    <row r="72" spans="1:20" ht="34.200000000000003" hidden="1" customHeight="1" x14ac:dyDescent="0.3">
      <c r="C72" s="226" t="s">
        <v>164</v>
      </c>
      <c r="D72" s="275">
        <f ca="1">SUM(H52:H63)-SUMIF(D52:H63,'Res - Ordinance Values'!$B$27,H52:H63)-SUMIF(D52:H63,'Res - Ordinance Values'!$B$25,H52:H63)</f>
        <v>0</v>
      </c>
      <c r="E72" s="240" t="s">
        <v>7</v>
      </c>
      <c r="F72" s="277"/>
      <c r="G72" s="295"/>
      <c r="J72" s="161"/>
      <c r="L72" s="160"/>
      <c r="M72" s="160"/>
      <c r="N72" s="160"/>
      <c r="O72" s="160"/>
      <c r="P72" s="160"/>
      <c r="Q72" s="160"/>
      <c r="R72" s="160"/>
      <c r="S72" s="160"/>
      <c r="T72" s="160"/>
    </row>
    <row r="73" spans="1:20" ht="74.25" customHeight="1" x14ac:dyDescent="0.3">
      <c r="C73" s="226" t="s">
        <v>128</v>
      </c>
      <c r="D73" s="279">
        <f ca="1">D72/D70</f>
        <v>0</v>
      </c>
      <c r="E73" s="240"/>
      <c r="F73" s="240" t="str">
        <f ca="1">IF(D72&gt;D70*0.2,"FAIL","PASS")</f>
        <v>PASS</v>
      </c>
      <c r="G73" s="296" t="s">
        <v>165</v>
      </c>
      <c r="M73" s="160"/>
      <c r="N73" s="160"/>
      <c r="O73" s="160"/>
      <c r="S73" s="160"/>
      <c r="T73" s="160"/>
    </row>
    <row r="74" spans="1:20" ht="63" customHeight="1" x14ac:dyDescent="0.3">
      <c r="C74" s="281" t="s">
        <v>119</v>
      </c>
      <c r="D74" s="282">
        <f>SUM(H52:H63)</f>
        <v>0</v>
      </c>
      <c r="E74" s="283" t="s">
        <v>7</v>
      </c>
      <c r="F74" s="285" t="str">
        <f>IF(OR(D74&gt;D70,'Res Parcel Fail Analysis'!C10="FAIL"),"FAIL","PASS")</f>
        <v>PASS</v>
      </c>
      <c r="G74" s="297" t="str">
        <f>IF('Res Parcel Fail Analysis'!C10="FAIL","More than 40% of lumens proposed - change project scope (C30)","")</f>
        <v/>
      </c>
      <c r="M74" s="160"/>
      <c r="N74" s="160"/>
      <c r="O74" s="160"/>
      <c r="S74" s="160"/>
      <c r="T74" s="160"/>
    </row>
    <row r="75" spans="1:20" ht="21.75" customHeight="1" thickBot="1" x14ac:dyDescent="0.35">
      <c r="F75" s="57"/>
      <c r="L75" s="160"/>
      <c r="M75" s="160"/>
      <c r="N75" s="160"/>
      <c r="O75" s="160"/>
      <c r="P75" s="160"/>
      <c r="S75" s="160"/>
      <c r="T75" s="160"/>
    </row>
    <row r="76" spans="1:20" ht="38.25" customHeight="1" thickBot="1" x14ac:dyDescent="0.35">
      <c r="C76" s="329" t="str">
        <f>C32</f>
        <v>Scope triggers entire property into compliance?</v>
      </c>
      <c r="D76" s="301" t="str">
        <f>D32</f>
        <v>Yes</v>
      </c>
      <c r="E76" s="434" t="str">
        <f>IF(D32="Yes","Whole parcel compliance required - do not fill out existing parcel analysis","Only fill out 'Table 3a: Current / Existing parcel analysis' if proposed parcel does not comply")</f>
        <v>Whole parcel compliance required - do not fill out existing parcel analysis</v>
      </c>
      <c r="F76" s="435"/>
      <c r="G76" s="436"/>
      <c r="H76" s="206"/>
      <c r="L76" s="160"/>
      <c r="M76" s="160"/>
      <c r="N76" s="160"/>
      <c r="O76" s="160"/>
      <c r="P76" s="160"/>
      <c r="R76" s="160"/>
      <c r="S76" s="160"/>
      <c r="T76" s="160"/>
    </row>
    <row r="77" spans="1:20" ht="23.55" customHeight="1" thickBot="1" x14ac:dyDescent="0.35">
      <c r="A77" s="328"/>
      <c r="B77" s="328"/>
      <c r="C77" s="328"/>
      <c r="D77" s="328"/>
      <c r="E77" s="328"/>
      <c r="F77" s="328"/>
      <c r="G77" s="328"/>
      <c r="H77" s="328"/>
      <c r="I77" s="328"/>
      <c r="J77" s="328"/>
      <c r="K77" s="328"/>
      <c r="L77" s="328"/>
      <c r="M77" s="328"/>
      <c r="N77" s="328"/>
      <c r="O77" s="328"/>
      <c r="P77" s="328"/>
      <c r="Q77" s="328"/>
      <c r="R77" s="328"/>
      <c r="S77" s="328"/>
    </row>
    <row r="78" spans="1:20" ht="10.95" customHeight="1" thickTop="1" thickBot="1" x14ac:dyDescent="0.35">
      <c r="A78" s="330"/>
      <c r="B78" s="330"/>
      <c r="C78" s="330"/>
      <c r="D78" s="330"/>
      <c r="E78" s="330"/>
      <c r="F78" s="330"/>
      <c r="G78" s="330"/>
      <c r="H78" s="330"/>
      <c r="I78" s="330"/>
      <c r="J78" s="330"/>
      <c r="K78" s="330"/>
      <c r="L78" s="330"/>
      <c r="M78" s="330"/>
      <c r="N78" s="330"/>
      <c r="O78" s="330"/>
      <c r="P78" s="330"/>
      <c r="Q78" s="330"/>
      <c r="R78" s="330"/>
      <c r="S78" s="330"/>
    </row>
    <row r="79" spans="1:20" ht="43.95" customHeight="1" thickTop="1" x14ac:dyDescent="0.3">
      <c r="B79" s="437" t="s">
        <v>357</v>
      </c>
      <c r="C79" s="437"/>
      <c r="D79" s="437"/>
      <c r="M79" s="160"/>
      <c r="N79" s="160"/>
      <c r="O79" s="160"/>
      <c r="P79" s="160"/>
      <c r="Q79" s="160"/>
      <c r="R79" s="160"/>
      <c r="S79" s="160"/>
      <c r="T79" s="160"/>
    </row>
    <row r="80" spans="1:20" ht="14.55" customHeight="1" x14ac:dyDescent="0.3">
      <c r="B80" s="218"/>
      <c r="C80" s="218"/>
      <c r="D80" s="218"/>
      <c r="M80" s="160"/>
      <c r="N80" s="160"/>
      <c r="O80" s="160"/>
      <c r="P80" s="160"/>
      <c r="Q80" s="160"/>
      <c r="R80" s="160"/>
      <c r="S80" s="160"/>
      <c r="T80" s="160"/>
    </row>
    <row r="81" spans="3:20" ht="52.5" customHeight="1" x14ac:dyDescent="0.3">
      <c r="C81" s="428" t="s">
        <v>360</v>
      </c>
      <c r="D81" s="428"/>
      <c r="E81" s="428"/>
      <c r="F81" s="428"/>
      <c r="G81" s="428"/>
      <c r="H81" s="428"/>
      <c r="I81" s="11"/>
      <c r="M81" s="160"/>
      <c r="N81" s="160"/>
      <c r="O81" s="160"/>
      <c r="P81" s="160"/>
      <c r="Q81" s="160"/>
      <c r="R81" s="160"/>
      <c r="S81" s="160"/>
    </row>
    <row r="82" spans="3:20" ht="5.55" customHeight="1" x14ac:dyDescent="0.3">
      <c r="C82" s="20"/>
      <c r="D82" s="20"/>
      <c r="E82" s="20"/>
      <c r="F82" s="20"/>
      <c r="G82" s="20"/>
      <c r="H82" s="20"/>
      <c r="I82" s="11"/>
      <c r="M82" s="160"/>
      <c r="N82" s="160"/>
      <c r="O82" s="160"/>
      <c r="P82" s="160"/>
      <c r="Q82" s="160"/>
      <c r="R82" s="160"/>
      <c r="S82" s="160"/>
    </row>
    <row r="83" spans="3:20" ht="43.95" customHeight="1" x14ac:dyDescent="0.3">
      <c r="C83" s="429" t="s">
        <v>359</v>
      </c>
      <c r="D83" s="429"/>
      <c r="E83" s="429"/>
      <c r="F83" s="429"/>
      <c r="G83" s="429"/>
      <c r="H83" s="429"/>
      <c r="I83" s="11"/>
      <c r="M83" s="160"/>
      <c r="N83" s="160"/>
      <c r="O83" s="160"/>
      <c r="P83" s="160"/>
      <c r="Q83" s="160"/>
      <c r="R83" s="160"/>
      <c r="S83" s="160"/>
    </row>
    <row r="85" spans="3:20" ht="28.05" customHeight="1" x14ac:dyDescent="0.3">
      <c r="C85" s="430" t="s">
        <v>330</v>
      </c>
      <c r="D85" s="430"/>
      <c r="E85" s="430"/>
      <c r="F85" s="430"/>
      <c r="G85" s="430"/>
      <c r="H85" s="430"/>
      <c r="I85" s="11"/>
      <c r="M85" s="160"/>
      <c r="N85" s="160"/>
      <c r="O85" s="160"/>
      <c r="P85" s="160"/>
      <c r="Q85" s="160"/>
      <c r="R85" s="160"/>
      <c r="S85" s="160"/>
      <c r="T85" s="160"/>
    </row>
    <row r="86" spans="3:20" ht="22.05" customHeight="1" thickBot="1" x14ac:dyDescent="0.35">
      <c r="C86" s="11"/>
      <c r="D86" s="11"/>
      <c r="E86" s="11"/>
      <c r="F86" s="11"/>
      <c r="G86" s="11"/>
      <c r="H86" s="11"/>
      <c r="I86" s="11"/>
      <c r="M86" s="160"/>
      <c r="N86" s="160"/>
      <c r="O86" s="160"/>
      <c r="P86" s="160"/>
      <c r="Q86" s="160"/>
      <c r="R86" s="160"/>
      <c r="S86" s="160"/>
      <c r="T86" s="160"/>
    </row>
    <row r="87" spans="3:20" ht="28.8" x14ac:dyDescent="0.3">
      <c r="C87" s="32" t="s">
        <v>163</v>
      </c>
      <c r="D87" s="326" t="s">
        <v>131</v>
      </c>
      <c r="E87" s="322" t="s">
        <v>401</v>
      </c>
      <c r="F87" s="323" t="s">
        <v>3</v>
      </c>
      <c r="G87" s="323" t="s">
        <v>4</v>
      </c>
      <c r="H87" s="322" t="s">
        <v>6</v>
      </c>
      <c r="I87" s="323" t="s">
        <v>9</v>
      </c>
      <c r="J87" s="323" t="s">
        <v>148</v>
      </c>
      <c r="K87" s="322" t="s">
        <v>153</v>
      </c>
      <c r="L87" s="322" t="s">
        <v>385</v>
      </c>
      <c r="M87" s="322" t="s">
        <v>189</v>
      </c>
      <c r="N87" s="324" t="s">
        <v>70</v>
      </c>
      <c r="O87" s="2"/>
      <c r="P87" s="2"/>
    </row>
    <row r="88" spans="3:20" x14ac:dyDescent="0.3">
      <c r="C88" s="54"/>
      <c r="D88" s="81" t="s">
        <v>334</v>
      </c>
      <c r="E88" s="79" t="s">
        <v>336</v>
      </c>
      <c r="F88" s="83"/>
      <c r="G88" s="54"/>
      <c r="H88" s="298">
        <f t="shared" ref="H88:H91" si="0">F88*G88</f>
        <v>0</v>
      </c>
      <c r="I88" s="85"/>
      <c r="J88" s="54" t="s">
        <v>336</v>
      </c>
      <c r="K88" s="299" t="str">
        <f>IF(OR(Existing_Info[[#This Row],[Mounting Type Fixture/Application]]="Choose from dropdown",Existing_Info[[#This Row],[Mounting Type Fixture/Application]]=0),"",VLOOKUP(Existing_Info[[#This Row],[Mounting Type Fixture/Application]],'Res - Ordinance Values'!$B$9:$C$20,2,FALSE))</f>
        <v/>
      </c>
      <c r="L88" s="54"/>
      <c r="M88" s="313" t="str">
        <f>'Res - Proposed Fixture analysis'!U41</f>
        <v>More info needed</v>
      </c>
      <c r="N88" s="314" t="str">
        <f>_xlfn.IFNA(_xlfn.TEXTJOIN(" ",TRUE,'Res - Proposed Fixture analysis'!E41,'Res - Proposed Fixture analysis'!F41,'Res - Proposed Fixture analysis'!H41,'Res - Proposed Fixture analysis'!I41,'Res - Proposed Fixture analysis'!J41,'Res - Proposed Fixture analysis'!L41)&amp;".","")</f>
        <v>.</v>
      </c>
      <c r="O88" s="2"/>
      <c r="P88" s="2"/>
    </row>
    <row r="89" spans="3:20" x14ac:dyDescent="0.3">
      <c r="C89" s="54"/>
      <c r="D89" s="81"/>
      <c r="E89" s="79"/>
      <c r="F89" s="83"/>
      <c r="G89" s="54"/>
      <c r="H89" s="298">
        <f t="shared" si="0"/>
        <v>0</v>
      </c>
      <c r="I89" s="85"/>
      <c r="J89" s="54"/>
      <c r="K89" s="299" t="str">
        <f>IF(OR(Existing_Info[[#This Row],[Mounting Type Fixture/Application]]="Choose from dropdown",Existing_Info[[#This Row],[Mounting Type Fixture/Application]]=0),"",VLOOKUP(Existing_Info[[#This Row],[Mounting Type Fixture/Application]],'Res - Ordinance Values'!$B$9:$C$20,2,FALSE))</f>
        <v/>
      </c>
      <c r="L89" s="54"/>
      <c r="M89" s="313" t="str">
        <f>'Res - Proposed Fixture analysis'!U42</f>
        <v>More info needed</v>
      </c>
      <c r="N89" s="314" t="str">
        <f>_xlfn.IFNA(_xlfn.TEXTJOIN(" ",TRUE,'Res - Proposed Fixture analysis'!E42,'Res - Proposed Fixture analysis'!F42,'Res - Proposed Fixture analysis'!H42,'Res - Proposed Fixture analysis'!I42,'Res - Proposed Fixture analysis'!J42,'Res - Proposed Fixture analysis'!L42)&amp;".","")</f>
        <v>.</v>
      </c>
      <c r="O89" s="2"/>
      <c r="P89" s="2"/>
    </row>
    <row r="90" spans="3:20" x14ac:dyDescent="0.3">
      <c r="C90" s="54"/>
      <c r="D90" s="81"/>
      <c r="E90" s="79"/>
      <c r="F90" s="83"/>
      <c r="G90" s="54"/>
      <c r="H90" s="298">
        <f t="shared" si="0"/>
        <v>0</v>
      </c>
      <c r="I90" s="85"/>
      <c r="J90" s="54"/>
      <c r="K90" s="299" t="str">
        <f>IF(OR(Existing_Info[[#This Row],[Mounting Type Fixture/Application]]="Choose from dropdown",Existing_Info[[#This Row],[Mounting Type Fixture/Application]]=0),"",VLOOKUP(Existing_Info[[#This Row],[Mounting Type Fixture/Application]],'Res - Ordinance Values'!$B$9:$C$20,2,FALSE))</f>
        <v/>
      </c>
      <c r="L90" s="54"/>
      <c r="M90" s="313" t="str">
        <f>'Res - Proposed Fixture analysis'!U43</f>
        <v>More info needed</v>
      </c>
      <c r="N90" s="314" t="str">
        <f>_xlfn.IFNA(_xlfn.TEXTJOIN(" ",TRUE,'Res - Proposed Fixture analysis'!E43,'Res - Proposed Fixture analysis'!F43,'Res - Proposed Fixture analysis'!H43,'Res - Proposed Fixture analysis'!I43,'Res - Proposed Fixture analysis'!J43,'Res - Proposed Fixture analysis'!L43)&amp;".","")</f>
        <v>.</v>
      </c>
      <c r="O90" s="2"/>
      <c r="P90" s="2"/>
    </row>
    <row r="91" spans="3:20" x14ac:dyDescent="0.3">
      <c r="C91" s="54"/>
      <c r="D91" s="81"/>
      <c r="E91" s="79"/>
      <c r="F91" s="83"/>
      <c r="G91" s="54"/>
      <c r="H91" s="298">
        <f t="shared" si="0"/>
        <v>0</v>
      </c>
      <c r="I91" s="85"/>
      <c r="J91" s="54"/>
      <c r="K91" s="299" t="str">
        <f>IF(OR(Existing_Info[[#This Row],[Mounting Type Fixture/Application]]="Choose from dropdown",Existing_Info[[#This Row],[Mounting Type Fixture/Application]]=0),"",VLOOKUP(Existing_Info[[#This Row],[Mounting Type Fixture/Application]],'Res - Ordinance Values'!$B$9:$C$20,2,FALSE))</f>
        <v/>
      </c>
      <c r="L91" s="54"/>
      <c r="M91" s="313" t="str">
        <f>'Res - Proposed Fixture analysis'!U44</f>
        <v>More info needed</v>
      </c>
      <c r="N91" s="314" t="str">
        <f>_xlfn.IFNA(_xlfn.TEXTJOIN(" ",TRUE,'Res - Proposed Fixture analysis'!E44,'Res - Proposed Fixture analysis'!F44,'Res - Proposed Fixture analysis'!H44,'Res - Proposed Fixture analysis'!I44,'Res - Proposed Fixture analysis'!J44,'Res - Proposed Fixture analysis'!L44)&amp;".","")</f>
        <v>.</v>
      </c>
      <c r="O91" s="2"/>
      <c r="P91" s="2"/>
    </row>
    <row r="92" spans="3:20" x14ac:dyDescent="0.3">
      <c r="C92" s="54"/>
      <c r="D92" s="81"/>
      <c r="E92" s="79"/>
      <c r="F92" s="83"/>
      <c r="G92" s="54"/>
      <c r="H92" s="298">
        <f t="shared" ref="H92:H99" si="1">F92*G92</f>
        <v>0</v>
      </c>
      <c r="I92" s="85"/>
      <c r="J92" s="54"/>
      <c r="K92" s="299" t="str">
        <f>IF(OR(Existing_Info[[#This Row],[Mounting Type Fixture/Application]]="Choose from dropdown",Existing_Info[[#This Row],[Mounting Type Fixture/Application]]=0),"",VLOOKUP(Existing_Info[[#This Row],[Mounting Type Fixture/Application]],'Res - Ordinance Values'!$B$9:$C$20,2,FALSE))</f>
        <v/>
      </c>
      <c r="L92" s="54"/>
      <c r="M92" s="313" t="str">
        <f>'Res - Proposed Fixture analysis'!U45</f>
        <v>More info needed</v>
      </c>
      <c r="N92" s="314" t="str">
        <f>_xlfn.IFNA(_xlfn.TEXTJOIN(" ",TRUE,'Res - Proposed Fixture analysis'!E45,'Res - Proposed Fixture analysis'!F45,'Res - Proposed Fixture analysis'!H45,'Res - Proposed Fixture analysis'!I45,'Res - Proposed Fixture analysis'!J45,'Res - Proposed Fixture analysis'!L45)&amp;".","")</f>
        <v>.</v>
      </c>
      <c r="O92" s="2"/>
      <c r="P92" s="2"/>
    </row>
    <row r="93" spans="3:20" x14ac:dyDescent="0.3">
      <c r="C93" s="54"/>
      <c r="D93" s="81"/>
      <c r="E93" s="79"/>
      <c r="F93" s="83"/>
      <c r="G93" s="54"/>
      <c r="H93" s="298">
        <f t="shared" si="1"/>
        <v>0</v>
      </c>
      <c r="I93" s="85"/>
      <c r="J93" s="54"/>
      <c r="K93" s="299" t="str">
        <f>IF(OR(Existing_Info[[#This Row],[Mounting Type Fixture/Application]]="Choose from dropdown",Existing_Info[[#This Row],[Mounting Type Fixture/Application]]=0),"",VLOOKUP(Existing_Info[[#This Row],[Mounting Type Fixture/Application]],'Res - Ordinance Values'!$B$9:$C$20,2,FALSE))</f>
        <v/>
      </c>
      <c r="L93" s="54"/>
      <c r="M93" s="313" t="str">
        <f>'Res - Proposed Fixture analysis'!U46</f>
        <v>More info needed</v>
      </c>
      <c r="N93" s="314" t="str">
        <f>_xlfn.IFNA(_xlfn.TEXTJOIN(" ",TRUE,'Res - Proposed Fixture analysis'!E46,'Res - Proposed Fixture analysis'!F46,'Res - Proposed Fixture analysis'!H46,'Res - Proposed Fixture analysis'!I46,'Res - Proposed Fixture analysis'!J46,'Res - Proposed Fixture analysis'!L46)&amp;".","")</f>
        <v>.</v>
      </c>
      <c r="O93" s="2"/>
      <c r="P93" s="2"/>
    </row>
    <row r="94" spans="3:20" x14ac:dyDescent="0.3">
      <c r="C94" s="54"/>
      <c r="D94" s="81"/>
      <c r="E94" s="79"/>
      <c r="F94" s="83"/>
      <c r="G94" s="54"/>
      <c r="H94" s="298">
        <f t="shared" si="1"/>
        <v>0</v>
      </c>
      <c r="I94" s="85"/>
      <c r="J94" s="54"/>
      <c r="K94" s="299" t="str">
        <f>IF(OR(Existing_Info[[#This Row],[Mounting Type Fixture/Application]]="Choose from dropdown",Existing_Info[[#This Row],[Mounting Type Fixture/Application]]=0),"",VLOOKUP(Existing_Info[[#This Row],[Mounting Type Fixture/Application]],'Res - Ordinance Values'!$B$9:$C$20,2,FALSE))</f>
        <v/>
      </c>
      <c r="L94" s="54"/>
      <c r="M94" s="313" t="str">
        <f>'Res - Proposed Fixture analysis'!U47</f>
        <v>More info needed</v>
      </c>
      <c r="N94" s="314" t="str">
        <f>_xlfn.IFNA(_xlfn.TEXTJOIN(" ",TRUE,'Res - Proposed Fixture analysis'!E47,'Res - Proposed Fixture analysis'!F47,'Res - Proposed Fixture analysis'!H47,'Res - Proposed Fixture analysis'!I47,'Res - Proposed Fixture analysis'!J47,'Res - Proposed Fixture analysis'!L47)&amp;".","")</f>
        <v>.</v>
      </c>
      <c r="O94" s="2"/>
      <c r="P94" s="2"/>
    </row>
    <row r="95" spans="3:20" x14ac:dyDescent="0.3">
      <c r="C95" s="54"/>
      <c r="D95" s="81"/>
      <c r="E95" s="79"/>
      <c r="F95" s="83"/>
      <c r="G95" s="54"/>
      <c r="H95" s="298">
        <f t="shared" si="1"/>
        <v>0</v>
      </c>
      <c r="I95" s="85"/>
      <c r="J95" s="54"/>
      <c r="K95" s="299" t="str">
        <f>IF(OR(Existing_Info[[#This Row],[Mounting Type Fixture/Application]]="Choose from dropdown",Existing_Info[[#This Row],[Mounting Type Fixture/Application]]=0),"",VLOOKUP(Existing_Info[[#This Row],[Mounting Type Fixture/Application]],'Res - Ordinance Values'!$B$9:$C$20,2,FALSE))</f>
        <v/>
      </c>
      <c r="L95" s="54"/>
      <c r="M95" s="313" t="str">
        <f>'Res - Proposed Fixture analysis'!U48</f>
        <v>More info needed</v>
      </c>
      <c r="N95" s="314" t="str">
        <f>_xlfn.IFNA(_xlfn.TEXTJOIN(" ",TRUE,'Res - Proposed Fixture analysis'!E48,'Res - Proposed Fixture analysis'!F48,'Res - Proposed Fixture analysis'!H48,'Res - Proposed Fixture analysis'!I48,'Res - Proposed Fixture analysis'!J48,'Res - Proposed Fixture analysis'!L48)&amp;".","")</f>
        <v>.</v>
      </c>
      <c r="O95" s="2"/>
      <c r="P95" s="2"/>
    </row>
    <row r="96" spans="3:20" x14ac:dyDescent="0.3">
      <c r="C96" s="54"/>
      <c r="D96" s="81"/>
      <c r="E96" s="79"/>
      <c r="F96" s="83"/>
      <c r="G96" s="54"/>
      <c r="H96" s="298">
        <f t="shared" si="1"/>
        <v>0</v>
      </c>
      <c r="I96" s="85"/>
      <c r="J96" s="54"/>
      <c r="K96" s="299" t="str">
        <f>IF(OR(Existing_Info[[#This Row],[Mounting Type Fixture/Application]]="Choose from dropdown",Existing_Info[[#This Row],[Mounting Type Fixture/Application]]=0),"",VLOOKUP(Existing_Info[[#This Row],[Mounting Type Fixture/Application]],'Res - Ordinance Values'!$B$9:$C$20,2,FALSE))</f>
        <v/>
      </c>
      <c r="L96" s="54"/>
      <c r="M96" s="313" t="str">
        <f>'Res - Proposed Fixture analysis'!U49</f>
        <v>More info needed</v>
      </c>
      <c r="N96" s="314" t="str">
        <f>_xlfn.IFNA(_xlfn.TEXTJOIN(" ",TRUE,'Res - Proposed Fixture analysis'!E49,'Res - Proposed Fixture analysis'!F49,'Res - Proposed Fixture analysis'!H49,'Res - Proposed Fixture analysis'!I49,'Res - Proposed Fixture analysis'!J49,'Res - Proposed Fixture analysis'!L49)&amp;".","")</f>
        <v>.</v>
      </c>
      <c r="O96" s="2"/>
      <c r="P96" s="2"/>
    </row>
    <row r="97" spans="1:19" x14ac:dyDescent="0.3">
      <c r="C97" s="54"/>
      <c r="D97" s="81"/>
      <c r="E97" s="79"/>
      <c r="F97" s="83"/>
      <c r="G97" s="54"/>
      <c r="H97" s="298">
        <f t="shared" si="1"/>
        <v>0</v>
      </c>
      <c r="I97" s="85"/>
      <c r="J97" s="54"/>
      <c r="K97" s="299" t="str">
        <f>IF(OR(Existing_Info[[#This Row],[Mounting Type Fixture/Application]]="Choose from dropdown",Existing_Info[[#This Row],[Mounting Type Fixture/Application]]=0),"",VLOOKUP(Existing_Info[[#This Row],[Mounting Type Fixture/Application]],'Res - Ordinance Values'!$B$9:$C$20,2,FALSE))</f>
        <v/>
      </c>
      <c r="L97" s="54"/>
      <c r="M97" s="313" t="str">
        <f>'Res - Proposed Fixture analysis'!U50</f>
        <v>More info needed</v>
      </c>
      <c r="N97" s="314" t="str">
        <f>_xlfn.IFNA(_xlfn.TEXTJOIN(" ",TRUE,'Res - Proposed Fixture analysis'!E50,'Res - Proposed Fixture analysis'!F50,'Res - Proposed Fixture analysis'!H50,'Res - Proposed Fixture analysis'!I50,'Res - Proposed Fixture analysis'!J50,'Res - Proposed Fixture analysis'!L50)&amp;".","")</f>
        <v>.</v>
      </c>
      <c r="O97" s="2"/>
      <c r="P97" s="2"/>
    </row>
    <row r="98" spans="1:19" x14ac:dyDescent="0.3">
      <c r="C98" s="54"/>
      <c r="D98" s="81"/>
      <c r="E98" s="79"/>
      <c r="F98" s="83"/>
      <c r="G98" s="54"/>
      <c r="H98" s="298">
        <f t="shared" si="1"/>
        <v>0</v>
      </c>
      <c r="I98" s="85"/>
      <c r="J98" s="54"/>
      <c r="K98" s="299" t="str">
        <f>IF(OR(Existing_Info[[#This Row],[Mounting Type Fixture/Application]]="Choose from dropdown",Existing_Info[[#This Row],[Mounting Type Fixture/Application]]=0),"",VLOOKUP(Existing_Info[[#This Row],[Mounting Type Fixture/Application]],'Res - Ordinance Values'!$B$9:$C$20,2,FALSE))</f>
        <v/>
      </c>
      <c r="L98" s="54"/>
      <c r="M98" s="313" t="str">
        <f>'Res - Proposed Fixture analysis'!U51</f>
        <v>More info needed</v>
      </c>
      <c r="N98" s="314" t="str">
        <f>_xlfn.IFNA(_xlfn.TEXTJOIN(" ",TRUE,'Res - Proposed Fixture analysis'!E51,'Res - Proposed Fixture analysis'!F51,'Res - Proposed Fixture analysis'!H51,'Res - Proposed Fixture analysis'!I51,'Res - Proposed Fixture analysis'!J51,'Res - Proposed Fixture analysis'!L51)&amp;".","")</f>
        <v>.</v>
      </c>
      <c r="O98" s="2"/>
      <c r="P98" s="2"/>
    </row>
    <row r="99" spans="1:19" ht="15" thickBot="1" x14ac:dyDescent="0.35">
      <c r="C99" s="54"/>
      <c r="D99" s="315"/>
      <c r="E99" s="325"/>
      <c r="F99" s="316"/>
      <c r="G99" s="317"/>
      <c r="H99" s="318">
        <f t="shared" si="1"/>
        <v>0</v>
      </c>
      <c r="I99" s="319"/>
      <c r="J99" s="317"/>
      <c r="K99" s="299" t="str">
        <f>IF(OR(Existing_Info[[#This Row],[Mounting Type Fixture/Application]]="Choose from dropdown",Existing_Info[[#This Row],[Mounting Type Fixture/Application]]=0),"",VLOOKUP(Existing_Info[[#This Row],[Mounting Type Fixture/Application]],'Res - Ordinance Values'!$B$9:$C$20,2,FALSE))</f>
        <v/>
      </c>
      <c r="L99" s="317"/>
      <c r="M99" s="320" t="str">
        <f>'Res - Proposed Fixture analysis'!U52</f>
        <v>More info needed</v>
      </c>
      <c r="N99" s="321" t="str">
        <f>_xlfn.IFNA(_xlfn.TEXTJOIN(" ",TRUE,'Res - Proposed Fixture analysis'!E52,'Res - Proposed Fixture analysis'!F52,'Res - Proposed Fixture analysis'!H52,'Res - Proposed Fixture analysis'!I52,'Res - Proposed Fixture analysis'!J52,'Res - Proposed Fixture analysis'!L52)&amp;".","")</f>
        <v>.</v>
      </c>
      <c r="O99" s="2"/>
      <c r="P99" s="2"/>
    </row>
    <row r="100" spans="1:19" ht="25.5" customHeight="1" thickBot="1" x14ac:dyDescent="0.35">
      <c r="A100" s="328"/>
      <c r="B100" s="328"/>
      <c r="C100" s="328"/>
      <c r="D100" s="328"/>
      <c r="E100" s="328"/>
      <c r="F100" s="328"/>
      <c r="G100" s="328"/>
      <c r="H100" s="328"/>
      <c r="I100" s="328"/>
      <c r="J100" s="328"/>
      <c r="K100" s="328"/>
      <c r="L100" s="328"/>
      <c r="M100" s="328"/>
      <c r="N100" s="328"/>
      <c r="O100" s="328"/>
      <c r="P100" s="328"/>
      <c r="Q100" s="328"/>
      <c r="R100" s="328"/>
      <c r="S100" s="328"/>
    </row>
    <row r="101" spans="1:19" ht="27.45" customHeight="1" thickTop="1" x14ac:dyDescent="0.3">
      <c r="B101" s="93" t="s">
        <v>319</v>
      </c>
    </row>
    <row r="102" spans="1:19" x14ac:dyDescent="0.3">
      <c r="B102" s="57"/>
    </row>
    <row r="103" spans="1:19" ht="62.55" customHeight="1" x14ac:dyDescent="0.3">
      <c r="B103" s="57"/>
      <c r="C103" s="429" t="s">
        <v>377</v>
      </c>
      <c r="D103" s="429"/>
      <c r="E103" s="429"/>
      <c r="F103" s="429"/>
      <c r="G103" s="429"/>
      <c r="H103" s="429"/>
    </row>
    <row r="104" spans="1:19" x14ac:dyDescent="0.3">
      <c r="C104" s="57"/>
    </row>
    <row r="105" spans="1:19" ht="35.25" customHeight="1" x14ac:dyDescent="0.3">
      <c r="C105" s="270" t="s">
        <v>124</v>
      </c>
      <c r="D105" s="271" t="s">
        <v>375</v>
      </c>
      <c r="E105" s="272" t="s">
        <v>120</v>
      </c>
      <c r="F105" s="273" t="s">
        <v>376</v>
      </c>
      <c r="G105" s="273" t="s">
        <v>69</v>
      </c>
      <c r="H105" s="272" t="s">
        <v>121</v>
      </c>
      <c r="I105" s="274" t="s">
        <v>122</v>
      </c>
      <c r="M105" s="2"/>
      <c r="N105" s="2"/>
      <c r="Q105" s="3"/>
      <c r="R105" s="3"/>
    </row>
    <row r="106" spans="1:19" ht="19.2" hidden="1" customHeight="1" x14ac:dyDescent="0.3">
      <c r="C106" s="226" t="s">
        <v>327</v>
      </c>
      <c r="D106" s="275">
        <f>SUM(Existing_Info[Total Lumens])-SUMIF(Existing_Info[Existing to Remain / To Be Removed],'Res - Ordinance Values'!$B$27,Existing_Info[Total Lumens])-SUMIF(Existing_Info[Existing to Remain / To Be Removed],'Res - Ordinance Values'!$B$25,Existing_Info[Total Lumens])</f>
        <v>0</v>
      </c>
      <c r="E106" s="240" t="s">
        <v>7</v>
      </c>
      <c r="F106" s="276">
        <f ca="1">D72</f>
        <v>0</v>
      </c>
      <c r="G106" s="240" t="s">
        <v>7</v>
      </c>
      <c r="H106" s="277" t="str">
        <f ca="1">IF(F72="PASS","PASS",IF(Lumen_Analysis20[[#This Row],[Proposed Parcel Analysis]]&gt;Lumen_Analysis20[[#This Row],[Existing Parcel Analysis]],"FAIL","ACCEPTED"))</f>
        <v>ACCEPTED</v>
      </c>
      <c r="I106" s="278" t="str">
        <f ca="1">IF(Lumen_Analysis20[[#This Row],[PASS/FAIL]]="FAIL","Proposed cannot exceed existing",IF(Lumen_Analysis20[[#This Row],[PASS/FAIL]]="PASS","Proposed parcel meets code.",""))</f>
        <v/>
      </c>
      <c r="M106" s="2"/>
      <c r="N106" s="2"/>
      <c r="Q106" s="3"/>
      <c r="R106" s="3"/>
    </row>
    <row r="107" spans="1:19" ht="53.25" customHeight="1" x14ac:dyDescent="0.3">
      <c r="C107" s="226" t="s">
        <v>314</v>
      </c>
      <c r="D107" s="279">
        <f>D106/D70</f>
        <v>0</v>
      </c>
      <c r="E107" s="240" t="s">
        <v>356</v>
      </c>
      <c r="F107" s="280">
        <f ca="1">D73</f>
        <v>0</v>
      </c>
      <c r="G107" s="240" t="s">
        <v>356</v>
      </c>
      <c r="H107" s="277" t="str">
        <f ca="1">IF(F73="PASS","PASS",IF(Lumen_Analysis20[[#This Row],[Proposed Parcel Analysis]]&gt;Lumen_Analysis20[[#This Row],[Existing Parcel Analysis]],"FAIL","ACCEPTED"))</f>
        <v>PASS</v>
      </c>
      <c r="I107" s="278" t="str">
        <f ca="1">IF(Lumen_Analysis20[[#This Row],[PASS/FAIL]]="FAIL","Proposed cannot exceed existing",IF(Lumen_Analysis20[[#This Row],[PASS/FAIL]]="PASS","Proposed parcel meets code.",""))</f>
        <v>Proposed parcel meets code.</v>
      </c>
      <c r="M107" s="2"/>
      <c r="N107" s="2"/>
      <c r="Q107" s="3"/>
      <c r="R107" s="3"/>
    </row>
    <row r="108" spans="1:19" ht="47.25" customHeight="1" x14ac:dyDescent="0.3">
      <c r="C108" s="281" t="s">
        <v>328</v>
      </c>
      <c r="D108" s="282">
        <f>SUM(Existing_Info[Total Lumens])</f>
        <v>0</v>
      </c>
      <c r="E108" s="283" t="s">
        <v>7</v>
      </c>
      <c r="F108" s="284">
        <f>D74</f>
        <v>0</v>
      </c>
      <c r="G108" s="283" t="s">
        <v>7</v>
      </c>
      <c r="H108" s="285" t="str">
        <f>IF(F74="PASS","PASS",IF(Lumen_Analysis20[[#This Row],[Proposed Parcel Analysis]]&gt;Lumen_Analysis20[[#This Row],[Existing Parcel Analysis]],"FAIL","ACCEPTED"))</f>
        <v>PASS</v>
      </c>
      <c r="I108" s="286" t="str">
        <f>IF(Lumen_Analysis20[[#This Row],[PASS/FAIL]]="FAIL","Proposed cannot exceed existing",IF(Lumen_Analysis20[[#This Row],[PASS/FAIL]]="PASS","Proposed parcel meets code.",""))</f>
        <v>Proposed parcel meets code.</v>
      </c>
      <c r="M108" s="2"/>
      <c r="Q108" s="3"/>
      <c r="R108" s="3"/>
    </row>
    <row r="109" spans="1:19" x14ac:dyDescent="0.3">
      <c r="L109" s="3"/>
    </row>
    <row r="110" spans="1:19" x14ac:dyDescent="0.3">
      <c r="L110" s="3"/>
    </row>
    <row r="111" spans="1:19" x14ac:dyDescent="0.3">
      <c r="L111" s="3"/>
    </row>
    <row r="112" spans="1:19" x14ac:dyDescent="0.3">
      <c r="K112" s="3"/>
    </row>
    <row r="113" spans="11:11" x14ac:dyDescent="0.3">
      <c r="K113" s="3"/>
    </row>
  </sheetData>
  <sheetProtection algorithmName="SHA-512" hashValue="W9drx6VXRklEhJlm0ijGhloq8AbQfciKciCsXfqbmi1otQqGGYuY9/KawVbeE17ssc+Qcco31P7pXbjUDlLyGQ==" saltValue="RkzoEVFwWa92thK4XeKTHQ==" spinCount="100000" sheet="1" selectLockedCells="1"/>
  <mergeCells count="38">
    <mergeCell ref="B2:H5"/>
    <mergeCell ref="B25:C25"/>
    <mergeCell ref="B42:C42"/>
    <mergeCell ref="H34:H37"/>
    <mergeCell ref="B7:D7"/>
    <mergeCell ref="B8:D8"/>
    <mergeCell ref="B9:D9"/>
    <mergeCell ref="E7:J7"/>
    <mergeCell ref="E8:J8"/>
    <mergeCell ref="E9:J9"/>
    <mergeCell ref="E10:J10"/>
    <mergeCell ref="B10:D10"/>
    <mergeCell ref="G38:J38"/>
    <mergeCell ref="H32:J32"/>
    <mergeCell ref="C19:H20"/>
    <mergeCell ref="E11:J11"/>
    <mergeCell ref="K34:O38"/>
    <mergeCell ref="C103:H103"/>
    <mergeCell ref="C85:H85"/>
    <mergeCell ref="E76:G76"/>
    <mergeCell ref="C83:H83"/>
    <mergeCell ref="I34:I37"/>
    <mergeCell ref="C38:E38"/>
    <mergeCell ref="C39:E39"/>
    <mergeCell ref="B11:D11"/>
    <mergeCell ref="B79:D79"/>
    <mergeCell ref="C81:H81"/>
    <mergeCell ref="C43:H43"/>
    <mergeCell ref="C23:G23"/>
    <mergeCell ref="G34:G37"/>
    <mergeCell ref="H27:J27"/>
    <mergeCell ref="H28:J28"/>
    <mergeCell ref="H29:J29"/>
    <mergeCell ref="H30:J30"/>
    <mergeCell ref="H31:J31"/>
    <mergeCell ref="J34:J37"/>
    <mergeCell ref="C49:D49"/>
    <mergeCell ref="C46:H48"/>
  </mergeCells>
  <phoneticPr fontId="3" type="noConversion"/>
  <conditionalFormatting sqref="A87:P99 A100:S109 A79:S86">
    <cfRule type="expression" dxfId="92" priority="19">
      <formula>$E$76="Whole parcel compliance required - do not fill out existing parcel analysis"</formula>
    </cfRule>
  </conditionalFormatting>
  <conditionalFormatting sqref="B101:R109 B79:R86 B87:O99">
    <cfRule type="expression" dxfId="91" priority="362">
      <formula>$E$76="Do not fill out existing parcel analysis - proposed parcel conforms entirely with new code"</formula>
    </cfRule>
  </conditionalFormatting>
  <conditionalFormatting sqref="C88:C99">
    <cfRule type="expression" dxfId="90" priority="363">
      <formula>#REF!="Fail"</formula>
    </cfRule>
  </conditionalFormatting>
  <conditionalFormatting sqref="D28">
    <cfRule type="containsText" dxfId="89" priority="49" operator="containsText" text="Commercial">
      <formula>NOT(ISERROR(SEARCH("Commercial",D28)))</formula>
    </cfRule>
  </conditionalFormatting>
  <conditionalFormatting sqref="D52:D63">
    <cfRule type="expression" dxfId="88" priority="2">
      <formula>ISNUMBER(SEARCH("Unapproved use of unshielded or partially shielded fixtures",$N52))</formula>
    </cfRule>
  </conditionalFormatting>
  <conditionalFormatting sqref="D72">
    <cfRule type="cellIs" dxfId="87" priority="346" operator="lessThanOrEqual">
      <formula>#REF!</formula>
    </cfRule>
    <cfRule type="cellIs" dxfId="86" priority="345" operator="greaterThan">
      <formula>#REF!</formula>
    </cfRule>
  </conditionalFormatting>
  <conditionalFormatting sqref="D73">
    <cfRule type="cellIs" dxfId="85" priority="47" operator="lessThan">
      <formula>0.2</formula>
    </cfRule>
    <cfRule type="cellIs" dxfId="84" priority="48" operator="greaterThanOrEqual">
      <formula>0.2</formula>
    </cfRule>
  </conditionalFormatting>
  <conditionalFormatting sqref="D74">
    <cfRule type="cellIs" dxfId="83" priority="230" operator="lessThanOrEqual">
      <formula>$D$68</formula>
    </cfRule>
    <cfRule type="cellIs" dxfId="82" priority="229" operator="greaterThan">
      <formula>$D$68</formula>
    </cfRule>
  </conditionalFormatting>
  <conditionalFormatting sqref="E76">
    <cfRule type="cellIs" dxfId="81" priority="28" operator="equal">
      <formula>"Fill out existing parcel analysis - proposal is non-conforming"</formula>
    </cfRule>
    <cfRule type="cellIs" dxfId="80" priority="29" operator="equal">
      <formula>"Whole parcel compliance required - do not fill out existing parcel analysis"</formula>
    </cfRule>
    <cfRule type="cellIs" dxfId="79" priority="20" operator="equal">
      <formula>"Do not fill out existing parcel analysis - proposed parcel conforms entirely with new code"</formula>
    </cfRule>
  </conditionalFormatting>
  <conditionalFormatting sqref="F52:F63">
    <cfRule type="expression" dxfId="78" priority="3">
      <formula>ISNUMBER(SEARCH("Lumens exceed limit",$N52))</formula>
    </cfRule>
  </conditionalFormatting>
  <conditionalFormatting sqref="F68:F74 H106:H108">
    <cfRule type="containsText" dxfId="77" priority="7" operator="containsText" text="ACCEPTED">
      <formula>NOT(ISERROR(SEARCH("ACCEPTED",F68)))</formula>
    </cfRule>
    <cfRule type="containsText" dxfId="76" priority="224" operator="containsText" text="PASS">
      <formula>NOT(ISERROR(SEARCH("PASS",F68)))</formula>
    </cfRule>
  </conditionalFormatting>
  <conditionalFormatting sqref="F106:F108">
    <cfRule type="expression" dxfId="75" priority="8">
      <formula>$H106="ACCEPTED"</formula>
    </cfRule>
    <cfRule type="expression" dxfId="74" priority="22">
      <formula>$H106="FAIL"</formula>
    </cfRule>
    <cfRule type="expression" dxfId="73" priority="21">
      <formula>$H106="PASS"</formula>
    </cfRule>
  </conditionalFormatting>
  <conditionalFormatting sqref="G27">
    <cfRule type="cellIs" dxfId="72" priority="51" operator="lessThan">
      <formula>0</formula>
    </cfRule>
  </conditionalFormatting>
  <conditionalFormatting sqref="H34:H35">
    <cfRule type="containsText" dxfId="71" priority="25" operator="containsText" text="TEMP PASS">
      <formula>NOT(ISERROR(SEARCH("TEMP PASS",H34)))</formula>
    </cfRule>
    <cfRule type="containsText" dxfId="70" priority="225" operator="containsText" text="FAIL">
      <formula>NOT(ISERROR(SEARCH("FAIL",H34)))</formula>
    </cfRule>
    <cfRule type="containsText" dxfId="69" priority="226" operator="containsText" text="PASS">
      <formula>NOT(ISERROR(SEARCH("PASS",H34)))</formula>
    </cfRule>
  </conditionalFormatting>
  <conditionalFormatting sqref="H106:H108 F68:F74">
    <cfRule type="containsText" dxfId="68" priority="223" operator="containsText" text="FAIL">
      <formula>NOT(ISERROR(SEARCH("FAIL",F68)))</formula>
    </cfRule>
  </conditionalFormatting>
  <conditionalFormatting sqref="I52:I63">
    <cfRule type="expression" dxfId="67" priority="4">
      <formula>ISNUMBER(SEARCH("CCT",$N52))</formula>
    </cfRule>
  </conditionalFormatting>
  <conditionalFormatting sqref="J52:J63">
    <cfRule type="expression" dxfId="66" priority="1">
      <formula>ISNUMBER(SEARCH("Unapproved use of unshielded or partially shielded fixtures",$N52))</formula>
    </cfRule>
  </conditionalFormatting>
  <conditionalFormatting sqref="K34 P34:P38">
    <cfRule type="cellIs" dxfId="65" priority="24" operator="equal">
      <formula>"City of Aspen Land Use Code requires all fixtures, including existing or current, to comply with this new lighting code by December 15, 2028. Your current lighting plan leaves fixtures remaining that need to be fixed by this date."</formula>
    </cfRule>
  </conditionalFormatting>
  <conditionalFormatting sqref="L52:L63">
    <cfRule type="expression" dxfId="64" priority="5">
      <formula>ISNUMBER(SEARCH("Exceeds allowed mounting height",$N52))</formula>
    </cfRule>
  </conditionalFormatting>
  <conditionalFormatting sqref="M52:M63">
    <cfRule type="containsText" dxfId="63" priority="42" operator="containsText" text="fail">
      <formula>NOT(ISERROR(SEARCH("fail",M52)))</formula>
    </cfRule>
    <cfRule type="containsText" dxfId="62" priority="43" operator="containsText" text="pass">
      <formula>NOT(ISERROR(SEARCH("pass",M52)))</formula>
    </cfRule>
    <cfRule type="cellIs" dxfId="61" priority="26" operator="equal">
      <formula>"More info needed"</formula>
    </cfRule>
  </conditionalFormatting>
  <conditionalFormatting sqref="M88:M99">
    <cfRule type="containsText" dxfId="60" priority="11" operator="containsText" text="pass">
      <formula>NOT(ISERROR(SEARCH("pass",M88)))</formula>
    </cfRule>
    <cfRule type="containsText" dxfId="59" priority="10" operator="containsText" text="fail">
      <formula>NOT(ISERROR(SEARCH("fail",M88)))</formula>
    </cfRule>
    <cfRule type="cellIs" dxfId="58" priority="9" operator="equal">
      <formula>"More info needed"</formula>
    </cfRule>
  </conditionalFormatting>
  <dataValidations count="4">
    <dataValidation type="list" allowBlank="1" showInputMessage="1" showErrorMessage="1" sqref="D28" xr:uid="{984473B0-C6D8-43C9-A04F-2D1034D2EBCC}">
      <formula1>"Single Family,Duplex,Multi-Family,Mixed-Use,Commercial"</formula1>
    </dataValidation>
    <dataValidation type="list" allowBlank="1" showInputMessage="1" showErrorMessage="1" sqref="E52" xr:uid="{6898A003-D747-45D7-A2C7-21F1959B8B43}">
      <formula1>"Choose from dropdown,Proposed,Existing to Remain"</formula1>
    </dataValidation>
    <dataValidation type="list" allowBlank="1" showInputMessage="1" showErrorMessage="1" sqref="E88" xr:uid="{4B5118E3-3684-465F-A568-1D0FD7944606}">
      <formula1>"Choose from dropdown,Existing to Remain,To Be Removed"</formula1>
    </dataValidation>
    <dataValidation type="list" allowBlank="1" showInputMessage="1" showErrorMessage="1" sqref="E89:E99" xr:uid="{8D0C5829-E99A-4597-A2F7-E4B9039FE249}">
      <formula1>"Existing to Remain,To Be Removed"</formula1>
    </dataValidation>
  </dataValidations>
  <pageMargins left="0.7" right="0.7" top="0.75" bottom="0.75" header="0.3" footer="0.3"/>
  <pageSetup paperSize="3" orientation="landscape" r:id="rId1"/>
  <headerFooter>
    <oddHeader>&amp;CCITY OF ASPEN RESIDENTIAL
 LIGHTING ORDINANCE COMPLIANCE FORM</oddHeader>
  </headerFooter>
  <drawing r:id="rId2"/>
  <tableParts count="5">
    <tablePart r:id="rId3"/>
    <tablePart r:id="rId4"/>
    <tablePart r:id="rId5"/>
    <tablePart r:id="rId6"/>
    <tablePart r:id="rId7"/>
  </tableParts>
  <extLst>
    <ext xmlns:x14="http://schemas.microsoft.com/office/spreadsheetml/2009/9/main" uri="{CCE6A557-97BC-4b89-ADB6-D9C93CAAB3DF}">
      <x14:dataValidations xmlns:xm="http://schemas.microsoft.com/office/excel/2006/main" count="9">
        <x14:dataValidation type="list" allowBlank="1" showInputMessage="1" showErrorMessage="1" xr:uid="{1F0724C0-EC97-47DD-BE05-AE1522F93E4C}">
          <x14:formula1>
            <xm:f>'Ref - Zone Districts'!$B$4:$B$32</xm:f>
          </x14:formula1>
          <xm:sqref>D27</xm:sqref>
        </x14:dataValidation>
        <x14:dataValidation type="list" allowBlank="1" showInputMessage="1" showErrorMessage="1" xr:uid="{DC4352A8-E764-4450-A996-CA862CC9A119}">
          <x14:formula1>
            <xm:f>'Res - Ordinance Values'!$B$56:$B$62</xm:f>
          </x14:formula1>
          <xm:sqref>D31</xm:sqref>
        </x14:dataValidation>
        <x14:dataValidation type="list" allowBlank="1" showInputMessage="1" showErrorMessage="1" xr:uid="{BD66C195-C399-4AD8-A41F-62F6E7F9963A}">
          <x14:formula1>
            <xm:f>'Res - Ordinance Values'!$B$23:$B$28</xm:f>
          </x14:formula1>
          <xm:sqref>D89:D99</xm:sqref>
        </x14:dataValidation>
        <x14:dataValidation type="list" allowBlank="1" showInputMessage="1" showErrorMessage="1" xr:uid="{4474796F-89F5-45EB-9941-CA4FE2141E01}">
          <x14:formula1>
            <xm:f>'Res - Ordinance Values'!$B$10:$B$17</xm:f>
          </x14:formula1>
          <xm:sqref>J90:J99</xm:sqref>
        </x14:dataValidation>
        <x14:dataValidation type="list" allowBlank="1" showInputMessage="1" showErrorMessage="1" xr:uid="{1517262D-1182-426B-9C19-9E856DE7E72A}">
          <x14:formula1>
            <xm:f>'Res - Ordinance Values'!$J$22:$J$28</xm:f>
          </x14:formula1>
          <xm:sqref>D88 D52</xm:sqref>
        </x14:dataValidation>
        <x14:dataValidation type="list" allowBlank="1" showInputMessage="1" showErrorMessage="1" xr:uid="{C482CB8C-4671-4775-B6BB-0897258C3562}">
          <x14:formula1>
            <xm:f>'Res - Proposed Fixture analysis'!$A$3:$A$4</xm:f>
          </x14:formula1>
          <xm:sqref>E53:E63</xm:sqref>
        </x14:dataValidation>
        <x14:dataValidation type="list" allowBlank="1" showInputMessage="1" showErrorMessage="1" xr:uid="{3E900FCB-8DF5-417A-B106-537839FEC486}">
          <x14:formula1>
            <xm:f>'Res - Ordinance Values'!$B$9:$B$20</xm:f>
          </x14:formula1>
          <xm:sqref>J88 J52</xm:sqref>
        </x14:dataValidation>
        <x14:dataValidation type="list" allowBlank="1" showInputMessage="1" showErrorMessage="1" xr:uid="{B89D49A2-DEC3-431D-A2E4-9D31B1C4667A}">
          <x14:formula1>
            <xm:f>'Res - Ordinance Values'!$B$10:$B$20</xm:f>
          </x14:formula1>
          <xm:sqref>J53:J63 J89</xm:sqref>
        </x14:dataValidation>
        <x14:dataValidation type="list" allowBlank="1" showInputMessage="1" showErrorMessage="1" xr:uid="{EAFB43E7-1DBB-4DD5-A44A-AF668DEDE0AB}">
          <x14:formula1>
            <xm:f>'Res - Ordinance Values'!$B$22:$B$28</xm:f>
          </x14:formula1>
          <xm:sqref>D53:D63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87B3E-0640-493A-8FA8-DA3EA35E852D}">
  <dimension ref="A1:E31"/>
  <sheetViews>
    <sheetView topLeftCell="A17" workbookViewId="0">
      <selection activeCell="B31" sqref="B31"/>
    </sheetView>
  </sheetViews>
  <sheetFormatPr defaultRowHeight="14.4" x14ac:dyDescent="0.3"/>
  <cols>
    <col min="1" max="1" width="68.109375" customWidth="1"/>
    <col min="2" max="2" width="25" bestFit="1" customWidth="1"/>
    <col min="3" max="3" width="10" customWidth="1"/>
    <col min="4" max="4" width="11.88671875" customWidth="1"/>
  </cols>
  <sheetData>
    <row r="1" spans="1:5" x14ac:dyDescent="0.3">
      <c r="A1" s="71" t="s">
        <v>129</v>
      </c>
      <c r="B1" s="51"/>
    </row>
    <row r="2" spans="1:5" x14ac:dyDescent="0.3">
      <c r="A2" s="72" t="s">
        <v>98</v>
      </c>
      <c r="B2" s="73" t="s">
        <v>99</v>
      </c>
      <c r="C2" s="93" t="s">
        <v>121</v>
      </c>
    </row>
    <row r="3" spans="1:5" x14ac:dyDescent="0.3">
      <c r="A3" s="36" t="s">
        <v>53</v>
      </c>
      <c r="B3" s="37" t="str">
        <f>IF('Res Compliance Calculator'!D28="Commercial",D3," ")</f>
        <v xml:space="preserve"> </v>
      </c>
      <c r="C3" t="str">
        <f>IF(B3=D3,"FAIL","PASS")</f>
        <v>PASS</v>
      </c>
      <c r="D3" t="s">
        <v>278</v>
      </c>
      <c r="E3">
        <f>COUNTIF(C3:C10,"FAIL")</f>
        <v>0</v>
      </c>
    </row>
    <row r="4" spans="1:5" x14ac:dyDescent="0.3">
      <c r="A4" s="36" t="s">
        <v>100</v>
      </c>
      <c r="B4" s="37" t="str">
        <f>IF(('Res Compliance Calculator'!D74&gt;'Res Compliance Calculator'!D68+'Res Compliance Calculator'!D69),"Lumens Exceed Parcel Allowance,"," ")</f>
        <v xml:space="preserve"> </v>
      </c>
      <c r="C4" t="str">
        <f>IF(B4="Lumens Exceed Parcel Allowance,","FAIL","PASS")</f>
        <v>PASS</v>
      </c>
    </row>
    <row r="5" spans="1:5" x14ac:dyDescent="0.3">
      <c r="A5" s="36" t="s">
        <v>101</v>
      </c>
      <c r="B5" s="37" t="str">
        <f>IF('Res Compliance Calculator'!G72&gt;20%,"Unshielded/Partially Shielded more than 20% of total lumen allowance,","")</f>
        <v/>
      </c>
      <c r="C5" t="str">
        <f>IF(B5="Unshielded/Partially Shielded more than 20% of total lumen allowance,","FAIL","PASS")</f>
        <v>PASS</v>
      </c>
    </row>
    <row r="6" spans="1:5" x14ac:dyDescent="0.3">
      <c r="A6" s="36" t="s">
        <v>102</v>
      </c>
      <c r="B6" s="37" t="str">
        <f>IF(COUNTIFS('Res Compliance Calculator'!I52:I63,"&gt;3000",Project_Info[PASS/FAIL/EXISTING TO REMAIN],"=Fail"),"CCT too high,","")</f>
        <v/>
      </c>
      <c r="C6" t="str">
        <f>IF(B6="CCT too high,","FAIL","PASS")</f>
        <v>PASS</v>
      </c>
    </row>
    <row r="7" spans="1:5" x14ac:dyDescent="0.3">
      <c r="A7" s="36" t="s">
        <v>103</v>
      </c>
      <c r="B7" s="37" t="str">
        <f>IF(COUNTIFS(Project_Info[Specified CCT],"&lt;2700",Project_Info[PASS/FAIL/EXISTING TO REMAIN],"=Fail"),"CCT too low,","")</f>
        <v/>
      </c>
      <c r="C7" t="str">
        <f>IF(B7="CCT too low,","FAIL","PASS")</f>
        <v>PASS</v>
      </c>
    </row>
    <row r="8" spans="1:5" x14ac:dyDescent="0.3">
      <c r="A8" s="36" t="s">
        <v>279</v>
      </c>
      <c r="B8" s="37" t="str">
        <f>IF(COUNTIFS('Res Compliance Calculator'!M52:M63,"FAIL",Project_Info[PASS/FAIL/EXISTING TO REMAIN],"=Fail"),D8,"")</f>
        <v/>
      </c>
      <c r="C8" t="str">
        <f>IF(B8=D8,"FAIL","PASS")</f>
        <v>PASS</v>
      </c>
      <c r="D8" t="s">
        <v>280</v>
      </c>
    </row>
    <row r="9" spans="1:5" ht="15" thickBot="1" x14ac:dyDescent="0.35">
      <c r="A9" s="38" t="s">
        <v>104</v>
      </c>
      <c r="B9" s="39" t="str">
        <f>IF(('Res Compliance Calculator'!D37&gt;'Res Compliance Calculator'!D30),"Exceeds Maximum Light Trespass,"," ")</f>
        <v xml:space="preserve"> </v>
      </c>
      <c r="C9" t="str">
        <f>IF(B9="Exceeds Maximum Light Trespass,","FAIL","PASS")</f>
        <v>PASS</v>
      </c>
    </row>
    <row r="10" spans="1:5" x14ac:dyDescent="0.3">
      <c r="A10" s="36" t="s">
        <v>337</v>
      </c>
      <c r="B10" t="str">
        <f>IF(AND(((SUMIF(Project_Info[Proposed/Existing],"Proposed",Project_Info[Total Lumens]))/('Res Compliance Calculator'!D70)&gt;0.4),'Res Compliance Calculator'!D31="Permit required - total lumens of replaced/added fixtures &lt;40% of total site lumen allowance"), "More than 40% of lumens proposed - change project scope (C30), "," ")</f>
        <v xml:space="preserve"> </v>
      </c>
      <c r="C10" t="str">
        <f>IF(B10="More than 40% of lumens proposed - change project scope (C30), ","FAIL","PASS")</f>
        <v>PASS</v>
      </c>
    </row>
    <row r="11" spans="1:5" x14ac:dyDescent="0.3">
      <c r="A11" s="36" t="s">
        <v>358</v>
      </c>
      <c r="B11" t="str" cm="1">
        <f t="array" aca="1" ref="B11" ca="1">IF(AND(COUNTIF(Lumen_Analysis20[PASS/FAIL],"FAIL")&gt;0,'Res Compliance Calculator'!E76:G76="Fill out existing parcel analysis - proposal is non-conforming"),"Proposal increases non-conformity, ","")</f>
        <v/>
      </c>
      <c r="C11" t="str">
        <f ca="1">IF(B11="Proposal increases non-conformity, ","FAIL","PASS")</f>
        <v>PASS</v>
      </c>
    </row>
    <row r="13" spans="1:5" x14ac:dyDescent="0.3">
      <c r="B13" t="str">
        <f>IF(COUNTIFS(Project_Info[Specified CCT],"&lt;2700",Project_Info[PASS/FAIL/EXISTING TO REMAIN],"=Fail"),"CCT too low,","")</f>
        <v/>
      </c>
    </row>
    <row r="14" spans="1:5" x14ac:dyDescent="0.3">
      <c r="B14">
        <f>COUNTIFS(Project_Info[Specified CCT],"&lt;2700",Project_Info[PASS/FAIL/EXISTING TO REMAIN],"=Fail")</f>
        <v>0</v>
      </c>
    </row>
    <row r="16" spans="1:5" x14ac:dyDescent="0.3">
      <c r="B16" s="205"/>
    </row>
    <row r="17" spans="1:3" x14ac:dyDescent="0.3">
      <c r="B17" s="59"/>
    </row>
    <row r="22" spans="1:3" x14ac:dyDescent="0.3">
      <c r="A22" t="s">
        <v>339</v>
      </c>
      <c r="B22" t="s">
        <v>338</v>
      </c>
      <c r="C22" t="s">
        <v>121</v>
      </c>
    </row>
    <row r="23" spans="1:3" x14ac:dyDescent="0.3">
      <c r="A23" s="36" t="s">
        <v>342</v>
      </c>
      <c r="B23">
        <f>IF(C23="PASS",1000,0)</f>
        <v>0</v>
      </c>
      <c r="C23" t="str">
        <f>IF(AND('Res Compliance Calculator'!D28="Multi-Family",'Res Compliance Calculator'!D27="MU"),"PASS","FAIL")</f>
        <v>FAIL</v>
      </c>
    </row>
    <row r="24" spans="1:3" x14ac:dyDescent="0.3">
      <c r="A24" s="36" t="s">
        <v>340</v>
      </c>
      <c r="B24">
        <f>IF(C24="PASS",2000*('Res Compliance Calculator'!D35-1),0)</f>
        <v>0</v>
      </c>
      <c r="C24" t="str">
        <f>IF(AND(OR('Res Compliance Calculator'!D28="Single Family",'Res Compliance Calculator'!D28="Duplex"),'Res Compliance Calculator'!D35&gt;1,'Res Compliance Calculator'!D34&gt;=43560),"PASS","FAIL")</f>
        <v>FAIL</v>
      </c>
    </row>
    <row r="25" spans="1:3" ht="15" thickBot="1" x14ac:dyDescent="0.35">
      <c r="A25" s="38" t="s">
        <v>341</v>
      </c>
      <c r="B25" s="42">
        <f>IF(C25="PASS",300*'Res Compliance Calculator'!D36,0)</f>
        <v>0</v>
      </c>
      <c r="C25" s="42" t="str">
        <f>IF('Res Compliance Calculator'!D28="Multi-Family","PASS","FAIL")</f>
        <v>FAIL</v>
      </c>
    </row>
    <row r="26" spans="1:3" x14ac:dyDescent="0.3">
      <c r="A26" t="s">
        <v>343</v>
      </c>
      <c r="B26">
        <f>SUM(B23:B25)</f>
        <v>0</v>
      </c>
    </row>
    <row r="31" spans="1:3" x14ac:dyDescent="0.3">
      <c r="B31" s="209"/>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0E79C-F7F8-4F82-89B1-A7087F114C9F}">
  <dimension ref="A1:AA67"/>
  <sheetViews>
    <sheetView topLeftCell="D1" zoomScale="85" zoomScaleNormal="85" workbookViewId="0">
      <selection activeCell="E65" sqref="E65"/>
    </sheetView>
  </sheetViews>
  <sheetFormatPr defaultRowHeight="14.4" x14ac:dyDescent="0.3"/>
  <cols>
    <col min="1" max="1" width="38.6640625" bestFit="1" customWidth="1"/>
    <col min="2" max="2" width="18.109375" customWidth="1"/>
    <col min="3" max="3" width="43.44140625" customWidth="1"/>
    <col min="4" max="4" width="36.6640625" customWidth="1"/>
    <col min="5" max="5" width="23.44140625" customWidth="1"/>
    <col min="6" max="6" width="32.33203125" customWidth="1"/>
    <col min="7" max="7" width="10.33203125" hidden="1" customWidth="1"/>
    <col min="8" max="9" width="14.109375" customWidth="1"/>
    <col min="10" max="10" width="32" hidden="1" customWidth="1"/>
    <col min="11" max="11" width="28.88671875" hidden="1" customWidth="1"/>
    <col min="12" max="12" width="30.6640625" bestFit="1" customWidth="1"/>
    <col min="13" max="13" width="19.6640625" hidden="1" customWidth="1"/>
    <col min="14" max="14" width="20.33203125" hidden="1" customWidth="1"/>
    <col min="15" max="15" width="18.6640625" hidden="1" customWidth="1"/>
    <col min="16" max="16" width="12.109375" hidden="1" customWidth="1"/>
    <col min="17" max="18" width="0" hidden="1" customWidth="1"/>
    <col min="19" max="19" width="11.6640625" customWidth="1"/>
    <col min="21" max="21" width="15.88671875" customWidth="1"/>
    <col min="27" max="27" width="33.77734375" customWidth="1"/>
  </cols>
  <sheetData>
    <row r="1" spans="1:21" x14ac:dyDescent="0.3">
      <c r="A1" t="s">
        <v>190</v>
      </c>
    </row>
    <row r="2" spans="1:21" x14ac:dyDescent="0.3">
      <c r="A2" t="s">
        <v>334</v>
      </c>
    </row>
    <row r="3" spans="1:21" x14ac:dyDescent="0.3">
      <c r="A3" t="s">
        <v>187</v>
      </c>
      <c r="F3">
        <f>COUNTIF(F6:L6,"?*")</f>
        <v>0</v>
      </c>
    </row>
    <row r="4" spans="1:21" x14ac:dyDescent="0.3">
      <c r="A4" t="s">
        <v>186</v>
      </c>
      <c r="E4" t="str">
        <f>IF(AND(OR(A6='Res - Ordinance Values'!$B$25,A6='Res - Ordinance Values'!$B$24,A6='Res - Ordinance Values'!$B$23,A6='Res - Ordinance Values'!$B$26),OR(D6='Res - Ordinance Values'!$B$10,D6='Res - Ordinance Values'!$B$12,D6='Res - Ordinance Values'!$B$13,D6='Res - Ordinance Values'!$B$16)),"Unapproved use of unshielded or partially shielded fixtures, ","")</f>
        <v/>
      </c>
    </row>
    <row r="5" spans="1:21" s="11" customFormat="1" x14ac:dyDescent="0.3">
      <c r="A5" s="31" t="s">
        <v>131</v>
      </c>
      <c r="B5" s="31" t="s">
        <v>182</v>
      </c>
      <c r="C5" s="32" t="s">
        <v>163</v>
      </c>
      <c r="D5" s="158" t="s">
        <v>148</v>
      </c>
      <c r="E5" s="11" t="s">
        <v>353</v>
      </c>
      <c r="F5" s="32" t="s">
        <v>188</v>
      </c>
      <c r="G5" s="32" t="s">
        <v>4</v>
      </c>
      <c r="H5" s="32" t="s">
        <v>250</v>
      </c>
      <c r="I5" s="32" t="s">
        <v>251</v>
      </c>
      <c r="J5" s="32" t="s">
        <v>354</v>
      </c>
      <c r="K5" s="67" t="s">
        <v>153</v>
      </c>
      <c r="L5" s="32" t="s">
        <v>154</v>
      </c>
      <c r="M5" s="33" t="s">
        <v>125</v>
      </c>
      <c r="N5" s="33" t="s">
        <v>126</v>
      </c>
      <c r="O5" s="33" t="s">
        <v>127</v>
      </c>
      <c r="P5" s="67" t="s">
        <v>10</v>
      </c>
      <c r="Q5" s="68" t="s">
        <v>70</v>
      </c>
      <c r="R5" s="67" t="s">
        <v>122</v>
      </c>
      <c r="S5" s="11" t="s">
        <v>121</v>
      </c>
      <c r="T5" s="67" t="s">
        <v>344</v>
      </c>
      <c r="U5" s="67" t="s">
        <v>345</v>
      </c>
    </row>
    <row r="6" spans="1:21" x14ac:dyDescent="0.3">
      <c r="A6" s="10" t="str">
        <f>'Res Compliance Calculator'!D52</f>
        <v>Please choose from dropdown</v>
      </c>
      <c r="B6" s="10" t="str">
        <f>'Res Compliance Calculator'!E52</f>
        <v>Choose from dropdown</v>
      </c>
      <c r="C6" s="10">
        <f>'Res Compliance Calculator'!C52</f>
        <v>0</v>
      </c>
      <c r="D6" s="10" t="str">
        <f>'Res Compliance Calculator'!J52</f>
        <v>Choose from dropdown</v>
      </c>
      <c r="E6" t="str">
        <f>IF(AND(OR(A6='Res - Ordinance Values'!$B$24,A6='Res - Ordinance Values'!$B$23,A6='Res - Ordinance Values'!$B$26),OR(D6='Res - Ordinance Values'!$B$10,AND(OR(D6='Res - Ordinance Values'!$B$11,D6='Res - Ordinance Values'!$B$17),'Res Compliance Calculator'!$D$28&lt;&gt;"Multi-Family"),D6='Res - Ordinance Values'!$B$12,D6='Res - Ordinance Values'!$B$16,D6='Res - Ordinance Values'!$B$19)),"Unapproved use of unshielded or partially shielded fixtures, ","")</f>
        <v/>
      </c>
      <c r="F6" s="69" t="str" cm="1">
        <f t="array" ref="F6">_xlfn.IFNA(IF('Res Compliance Calculator'!D52='Res - Ordinance Values'!$B$27,"",(IF('Res Compliance Calculator'!$F52&gt;VLOOKUP('Res Compliance Calculator'!$D52,'Res - Ordinance Values'!$B$23:$F$28,_xlfn.IFS('Res Compliance Calculator'!$D$29="LZ1",3,'Res Compliance Calculator'!$D$29="LZ2",4),FALSE),"Lumens exceed limit,",""))),"")</f>
        <v/>
      </c>
      <c r="G6" s="56"/>
      <c r="H6" s="57" t="str">
        <f>IF('Res Compliance Calculator'!I52="","",IF('Res Compliance Calculator'!I52&gt;3000,"CCT too high,",""))</f>
        <v/>
      </c>
      <c r="I6" s="69" t="str">
        <f>IF('Res Compliance Calculator'!I52="","",IF('Res Compliance Calculator'!I52&lt;2700,"CCT too low,",""))</f>
        <v/>
      </c>
      <c r="J6" s="70"/>
      <c r="K6" s="56"/>
      <c r="L6" s="69" t="str">
        <f>IF('Res Compliance Calculator'!$L52&lt;='Res Compliance Calculator'!$K52,"","Exceeds allowed mounting height,")</f>
        <v/>
      </c>
      <c r="M6" s="65"/>
      <c r="N6" s="66"/>
      <c r="O6" s="66"/>
      <c r="S6" t="str">
        <f>IF(COUNTIF(E6:L6,"?*")&gt;0,"Fail","Pass")</f>
        <v>Pass</v>
      </c>
      <c r="T6" t="b">
        <f>COUNTBLANK('Res Compliance Calculator'!C52:L52)&gt;0</f>
        <v>1</v>
      </c>
      <c r="U6" t="str">
        <f>IF(Proposed_analysis[[#This Row],[Info?]]=FALSE,Proposed_analysis[[#This Row],[PASS/FAIL]],"More info needed")</f>
        <v>More info needed</v>
      </c>
    </row>
    <row r="7" spans="1:21" x14ac:dyDescent="0.3">
      <c r="A7" s="10">
        <f>'Res Compliance Calculator'!D53</f>
        <v>0</v>
      </c>
      <c r="B7" s="10">
        <f>'Res Compliance Calculator'!E53</f>
        <v>0</v>
      </c>
      <c r="C7" s="10">
        <f>'Res Compliance Calculator'!C53</f>
        <v>0</v>
      </c>
      <c r="D7" s="10">
        <f>'Res Compliance Calculator'!J53</f>
        <v>0</v>
      </c>
      <c r="E7" t="str">
        <f>IF(AND(OR(A7='Res - Ordinance Values'!$B$24,A7='Res - Ordinance Values'!$B$23,A7='Res - Ordinance Values'!$B$26),OR(D7='Res - Ordinance Values'!$B$10,AND(OR(D7='Res - Ordinance Values'!$B$11,D7='Res - Ordinance Values'!$B$17),'Res Compliance Calculator'!$D$28&lt;&gt;"Multi-Family"),D7='Res - Ordinance Values'!$B$12,D7='Res - Ordinance Values'!$B$16,D7='Res - Ordinance Values'!$B$19)),"Unapproved use of unshielded or partially shielded fixtures, ","")</f>
        <v/>
      </c>
      <c r="F7" s="69" t="str" cm="1">
        <f t="array" ref="F7">_xlfn.IFNA(IF('Res Compliance Calculator'!D53='Res - Ordinance Values'!$B$27,"",(IF('Res Compliance Calculator'!$F53&gt;VLOOKUP('Res Compliance Calculator'!$D53,'Res - Ordinance Values'!$B$23:$F$28,_xlfn.IFS('Res Compliance Calculator'!$D$29="LZ1",3,'Res Compliance Calculator'!$D$29="LZ2",4),FALSE),"Lumens exceed limit,",""))),"")</f>
        <v/>
      </c>
      <c r="G7" s="56"/>
      <c r="H7" s="57" t="str">
        <f>IF('Res Compliance Calculator'!I53="","",IF('Res Compliance Calculator'!I53&gt;3000,"CCT too high,",""))</f>
        <v/>
      </c>
      <c r="I7" s="69" t="str">
        <f>IF('Res Compliance Calculator'!I53="","",IF('Res Compliance Calculator'!I53&lt;2700,"CCT too low,",""))</f>
        <v/>
      </c>
      <c r="J7" s="70"/>
      <c r="K7" s="56"/>
      <c r="L7" s="69" t="str">
        <f>IF('Res Compliance Calculator'!$L53&lt;='Res Compliance Calculator'!$K53,"","Exceeds allowed mounting height,")</f>
        <v/>
      </c>
      <c r="M7" s="65"/>
      <c r="N7" s="66"/>
      <c r="O7" s="66"/>
      <c r="S7" t="str">
        <f t="shared" ref="S7:S56" si="0">IF(COUNTIF(E7:L7,"?*")&gt;0,"Fail","Pass")</f>
        <v>Pass</v>
      </c>
      <c r="T7" t="b">
        <f>COUNTBLANK('Res Compliance Calculator'!C53:L53)&gt;0</f>
        <v>1</v>
      </c>
      <c r="U7" t="str">
        <f>IF(Proposed_analysis[[#This Row],[Info?]]=FALSE,Proposed_analysis[[#This Row],[PASS/FAIL]],"More info needed")</f>
        <v>More info needed</v>
      </c>
    </row>
    <row r="8" spans="1:21" x14ac:dyDescent="0.3">
      <c r="A8" s="10">
        <f>'Res Compliance Calculator'!D54</f>
        <v>0</v>
      </c>
      <c r="B8" s="10">
        <f>'Res Compliance Calculator'!E54</f>
        <v>0</v>
      </c>
      <c r="C8" s="10">
        <f>'Res Compliance Calculator'!C54</f>
        <v>0</v>
      </c>
      <c r="D8" s="10">
        <f>'Res Compliance Calculator'!J54</f>
        <v>0</v>
      </c>
      <c r="E8" t="str">
        <f>IF(AND(OR(A8='Res - Ordinance Values'!$B$24,A8='Res - Ordinance Values'!$B$23,A8='Res - Ordinance Values'!$B$26),OR(D8='Res - Ordinance Values'!$B$10,AND(OR(D8='Res - Ordinance Values'!$B$11,D8='Res - Ordinance Values'!$B$17),'Res Compliance Calculator'!$D$28&lt;&gt;"Multi-Family"),D8='Res - Ordinance Values'!$B$12,D8='Res - Ordinance Values'!$B$16,D8='Res - Ordinance Values'!$B$19)),"Unapproved use of unshielded or partially shielded fixtures, ","")</f>
        <v/>
      </c>
      <c r="F8" s="69" t="str" cm="1">
        <f t="array" ref="F8">_xlfn.IFNA(IF('Res Compliance Calculator'!D54='Res - Ordinance Values'!$B$27,"",(IF('Res Compliance Calculator'!$F54&gt;VLOOKUP('Res Compliance Calculator'!$D54,'Res - Ordinance Values'!$B$23:$F$28,_xlfn.IFS('Res Compliance Calculator'!$D$29="LZ1",3,'Res Compliance Calculator'!$D$29="LZ2",4),FALSE),"Lumens exceed limit,",""))),"")</f>
        <v/>
      </c>
      <c r="G8" s="56"/>
      <c r="H8" s="57" t="str">
        <f>IF('Res Compliance Calculator'!I54="","",IF('Res Compliance Calculator'!I54&gt;3000,"CCT too high,",""))</f>
        <v/>
      </c>
      <c r="I8" s="69" t="str">
        <f>IF('Res Compliance Calculator'!I54="","",IF('Res Compliance Calculator'!I54&lt;2700,"CCT too low,",""))</f>
        <v/>
      </c>
      <c r="J8" s="70"/>
      <c r="K8" s="56"/>
      <c r="L8" s="69" t="str">
        <f>IF('Res Compliance Calculator'!$L54&lt;='Res Compliance Calculator'!$K54,"","Exceeds allowed mounting height,")</f>
        <v/>
      </c>
      <c r="M8" s="65"/>
      <c r="N8" s="66"/>
      <c r="O8" s="66"/>
      <c r="S8" t="str">
        <f t="shared" si="0"/>
        <v>Pass</v>
      </c>
      <c r="T8" t="b">
        <f>COUNTBLANK('Res Compliance Calculator'!C54:L54)&gt;0</f>
        <v>1</v>
      </c>
      <c r="U8" t="str">
        <f>IF(Proposed_analysis[[#This Row],[Info?]]=FALSE,Proposed_analysis[[#This Row],[PASS/FAIL]],"More info needed")</f>
        <v>More info needed</v>
      </c>
    </row>
    <row r="9" spans="1:21" x14ac:dyDescent="0.3">
      <c r="A9" s="10">
        <f>'Res Compliance Calculator'!D55</f>
        <v>0</v>
      </c>
      <c r="B9" s="10">
        <f>'Res Compliance Calculator'!E55</f>
        <v>0</v>
      </c>
      <c r="C9" s="10">
        <f>'Res Compliance Calculator'!C55</f>
        <v>0</v>
      </c>
      <c r="D9" s="10">
        <f>'Res Compliance Calculator'!J55</f>
        <v>0</v>
      </c>
      <c r="E9" t="str">
        <f>IF(AND(OR(A9='Res - Ordinance Values'!$B$24,A9='Res - Ordinance Values'!$B$23,A9='Res - Ordinance Values'!$B$26),OR(D9='Res - Ordinance Values'!$B$10,AND(OR(D9='Res - Ordinance Values'!$B$11,D9='Res - Ordinance Values'!$B$17),'Res Compliance Calculator'!$D$28&lt;&gt;"Multi-Family"),D9='Res - Ordinance Values'!$B$12,D9='Res - Ordinance Values'!$B$16,D9='Res - Ordinance Values'!$B$19)),"Unapproved use of unshielded or partially shielded fixtures, ","")</f>
        <v/>
      </c>
      <c r="F9" s="69" t="str" cm="1">
        <f t="array" ref="F9">_xlfn.IFNA(IF('Res Compliance Calculator'!D55='Res - Ordinance Values'!$B$27,"",(IF('Res Compliance Calculator'!$F55&gt;VLOOKUP('Res Compliance Calculator'!$D55,'Res - Ordinance Values'!$B$23:$F$28,_xlfn.IFS('Res Compliance Calculator'!$D$29="LZ1",3,'Res Compliance Calculator'!$D$29="LZ2",4),FALSE),"Lumens exceed limit,",""))),"")</f>
        <v/>
      </c>
      <c r="G9" s="56"/>
      <c r="H9" s="57" t="str">
        <f>IF('Res Compliance Calculator'!I55="","",IF('Res Compliance Calculator'!I55&gt;3000,"CCT too high,",""))</f>
        <v/>
      </c>
      <c r="I9" s="69" t="str">
        <f>IF('Res Compliance Calculator'!I55="","",IF('Res Compliance Calculator'!I55&lt;2700,"CCT too low,",""))</f>
        <v/>
      </c>
      <c r="J9" s="70"/>
      <c r="K9" s="56"/>
      <c r="L9" s="69" t="str">
        <f>IF('Res Compliance Calculator'!$L55&lt;='Res Compliance Calculator'!$K55,"","Exceeds allowed mounting height,")</f>
        <v/>
      </c>
      <c r="M9" s="65"/>
      <c r="N9" s="66"/>
      <c r="O9" s="66"/>
      <c r="S9" t="str">
        <f t="shared" si="0"/>
        <v>Pass</v>
      </c>
      <c r="T9" t="b">
        <f>COUNTBLANK('Res Compliance Calculator'!C55:L55)&gt;0</f>
        <v>1</v>
      </c>
      <c r="U9" t="str">
        <f>IF(Proposed_analysis[[#This Row],[Info?]]=FALSE,Proposed_analysis[[#This Row],[PASS/FAIL]],"More info needed")</f>
        <v>More info needed</v>
      </c>
    </row>
    <row r="10" spans="1:21" x14ac:dyDescent="0.3">
      <c r="A10" s="10">
        <f>'Res Compliance Calculator'!D56</f>
        <v>0</v>
      </c>
      <c r="B10" s="10">
        <f>'Res Compliance Calculator'!E56</f>
        <v>0</v>
      </c>
      <c r="C10" s="10">
        <f>'Res Compliance Calculator'!C56</f>
        <v>0</v>
      </c>
      <c r="D10" s="10">
        <f>'Res Compliance Calculator'!J56</f>
        <v>0</v>
      </c>
      <c r="E10" t="str">
        <f>IF(AND(OR(A10='Res - Ordinance Values'!$B$24,A10='Res - Ordinance Values'!$B$23,A10='Res - Ordinance Values'!$B$26),OR(D10='Res - Ordinance Values'!$B$10,AND(OR(D10='Res - Ordinance Values'!$B$11,D10='Res - Ordinance Values'!$B$17),'Res Compliance Calculator'!$D$28&lt;&gt;"Multi-Family"),D10='Res - Ordinance Values'!$B$12,D10='Res - Ordinance Values'!$B$16,D10='Res - Ordinance Values'!$B$19)),"Unapproved use of unshielded or partially shielded fixtures, ","")</f>
        <v/>
      </c>
      <c r="F10" s="69" t="str" cm="1">
        <f t="array" ref="F10">_xlfn.IFNA(IF('Res Compliance Calculator'!D56='Res - Ordinance Values'!$B$27,"",(IF('Res Compliance Calculator'!$F56&gt;VLOOKUP('Res Compliance Calculator'!$D56,'Res - Ordinance Values'!$B$23:$F$28,_xlfn.IFS('Res Compliance Calculator'!$D$29="LZ1",3,'Res Compliance Calculator'!$D$29="LZ2",4),FALSE),"Lumens exceed limit,",""))),"")</f>
        <v/>
      </c>
      <c r="G10" s="56"/>
      <c r="H10" s="57" t="str">
        <f>IF('Res Compliance Calculator'!I56="","",IF('Res Compliance Calculator'!I56&gt;3000,"CCT too high,",""))</f>
        <v/>
      </c>
      <c r="I10" s="69" t="str">
        <f>IF('Res Compliance Calculator'!I56="","",IF('Res Compliance Calculator'!I56&lt;2700,"CCT too low,",""))</f>
        <v/>
      </c>
      <c r="J10" s="70"/>
      <c r="K10" s="56"/>
      <c r="L10" s="69" t="str">
        <f>IF('Res Compliance Calculator'!$L56&lt;='Res Compliance Calculator'!$K56,"","Exceeds allowed mounting height,")</f>
        <v/>
      </c>
      <c r="M10" s="65"/>
      <c r="N10" s="66"/>
      <c r="O10" s="66"/>
      <c r="S10" t="str">
        <f t="shared" si="0"/>
        <v>Pass</v>
      </c>
      <c r="T10" t="b">
        <f>COUNTBLANK('Res Compliance Calculator'!C56:L56)&gt;0</f>
        <v>1</v>
      </c>
      <c r="U10" t="str">
        <f>IF(Proposed_analysis[[#This Row],[Info?]]=FALSE,Proposed_analysis[[#This Row],[PASS/FAIL]],"More info needed")</f>
        <v>More info needed</v>
      </c>
    </row>
    <row r="11" spans="1:21" x14ac:dyDescent="0.3">
      <c r="A11" s="10">
        <f>'Res Compliance Calculator'!D57</f>
        <v>0</v>
      </c>
      <c r="B11" s="10">
        <f>'Res Compliance Calculator'!E57</f>
        <v>0</v>
      </c>
      <c r="C11" s="10">
        <f>'Res Compliance Calculator'!C57</f>
        <v>0</v>
      </c>
      <c r="D11" s="10">
        <f>'Res Compliance Calculator'!J57</f>
        <v>0</v>
      </c>
      <c r="E11" t="str">
        <f>IF(AND(OR(A11='Res - Ordinance Values'!$B$24,A11='Res - Ordinance Values'!$B$23,A11='Res - Ordinance Values'!$B$26),OR(D11='Res - Ordinance Values'!$B$10,AND(OR(D11='Res - Ordinance Values'!$B$11,D11='Res - Ordinance Values'!$B$17),'Res Compliance Calculator'!$D$28&lt;&gt;"Multi-Family"),D11='Res - Ordinance Values'!$B$12,D11='Res - Ordinance Values'!$B$16,D11='Res - Ordinance Values'!$B$19)),"Unapproved use of unshielded or partially shielded fixtures, ","")</f>
        <v/>
      </c>
      <c r="F11" s="69" t="str" cm="1">
        <f t="array" ref="F11">_xlfn.IFNA(IF('Res Compliance Calculator'!D57='Res - Ordinance Values'!$B$27,"",(IF('Res Compliance Calculator'!$F57&gt;VLOOKUP('Res Compliance Calculator'!$D57,'Res - Ordinance Values'!$B$23:$F$28,_xlfn.IFS('Res Compliance Calculator'!$D$29="LZ1",3,'Res Compliance Calculator'!$D$29="LZ2",4),FALSE),"Lumens exceed limit,",""))),"")</f>
        <v/>
      </c>
      <c r="G11" s="56"/>
      <c r="H11" s="57" t="str">
        <f>IF('Res Compliance Calculator'!I57="","",IF('Res Compliance Calculator'!I57&gt;3000,"CCT too high,",""))</f>
        <v/>
      </c>
      <c r="I11" s="69" t="str">
        <f>IF('Res Compliance Calculator'!I57="","",IF('Res Compliance Calculator'!I57&lt;2700,"CCT too low,",""))</f>
        <v/>
      </c>
      <c r="J11" s="70"/>
      <c r="K11" s="56"/>
      <c r="L11" s="69" t="str">
        <f>IF('Res Compliance Calculator'!$L57&lt;='Res Compliance Calculator'!$K57,"","Exceeds allowed mounting height,")</f>
        <v/>
      </c>
      <c r="M11" s="65"/>
      <c r="N11" s="66"/>
      <c r="O11" s="66"/>
      <c r="S11" t="str">
        <f t="shared" si="0"/>
        <v>Pass</v>
      </c>
      <c r="T11" t="b">
        <f>COUNTBLANK('Res Compliance Calculator'!C57:L57)&gt;0</f>
        <v>1</v>
      </c>
      <c r="U11" t="str">
        <f>IF(Proposed_analysis[[#This Row],[Info?]]=FALSE,Proposed_analysis[[#This Row],[PASS/FAIL]],"More info needed")</f>
        <v>More info needed</v>
      </c>
    </row>
    <row r="12" spans="1:21" x14ac:dyDescent="0.3">
      <c r="A12" s="10">
        <f>'Res Compliance Calculator'!D58</f>
        <v>0</v>
      </c>
      <c r="B12" s="10">
        <f>'Res Compliance Calculator'!E58</f>
        <v>0</v>
      </c>
      <c r="C12" s="10">
        <f>'Res Compliance Calculator'!C58</f>
        <v>0</v>
      </c>
      <c r="D12" s="10">
        <f>'Res Compliance Calculator'!J58</f>
        <v>0</v>
      </c>
      <c r="E12" t="str">
        <f>IF(AND(OR(A12='Res - Ordinance Values'!$B$24,A12='Res - Ordinance Values'!$B$23,A12='Res - Ordinance Values'!$B$26),OR(D12='Res - Ordinance Values'!$B$10,AND(OR(D12='Res - Ordinance Values'!$B$11,D12='Res - Ordinance Values'!$B$17),'Res Compliance Calculator'!$D$28&lt;&gt;"Multi-Family"),D12='Res - Ordinance Values'!$B$12,D12='Res - Ordinance Values'!$B$16,D12='Res - Ordinance Values'!$B$19)),"Unapproved use of unshielded or partially shielded fixtures, ","")</f>
        <v/>
      </c>
      <c r="F12" s="69" t="str" cm="1">
        <f t="array" ref="F12">_xlfn.IFNA(IF('Res Compliance Calculator'!D58='Res - Ordinance Values'!$B$27,"",(IF('Res Compliance Calculator'!$F58&gt;VLOOKUP('Res Compliance Calculator'!$D58,'Res - Ordinance Values'!$B$23:$F$28,_xlfn.IFS('Res Compliance Calculator'!$D$29="LZ1",3,'Res Compliance Calculator'!$D$29="LZ2",4),FALSE),"Lumens exceed limit,",""))),"")</f>
        <v/>
      </c>
      <c r="G12" s="56"/>
      <c r="H12" s="57" t="str">
        <f>IF('Res Compliance Calculator'!I58="","",IF('Res Compliance Calculator'!I58&gt;3000,"CCT too high,",""))</f>
        <v/>
      </c>
      <c r="I12" s="69" t="str">
        <f>IF('Res Compliance Calculator'!I58="","",IF('Res Compliance Calculator'!I58&lt;2700,"CCT too low,",""))</f>
        <v/>
      </c>
      <c r="J12" s="70"/>
      <c r="K12" s="56"/>
      <c r="L12" s="69" t="str">
        <f>IF('Res Compliance Calculator'!$L58&lt;='Res Compliance Calculator'!$K58,"","Exceeds allowed mounting height,")</f>
        <v/>
      </c>
      <c r="M12" s="65"/>
      <c r="N12" s="66"/>
      <c r="O12" s="66"/>
      <c r="S12" t="str">
        <f t="shared" si="0"/>
        <v>Pass</v>
      </c>
      <c r="T12" t="b">
        <f>COUNTBLANK('Res Compliance Calculator'!C58:L58)&gt;0</f>
        <v>1</v>
      </c>
      <c r="U12" t="str">
        <f>IF(Proposed_analysis[[#This Row],[Info?]]=FALSE,Proposed_analysis[[#This Row],[PASS/FAIL]],"More info needed")</f>
        <v>More info needed</v>
      </c>
    </row>
    <row r="13" spans="1:21" x14ac:dyDescent="0.3">
      <c r="A13" s="10">
        <f>'Res Compliance Calculator'!D59</f>
        <v>0</v>
      </c>
      <c r="B13" s="10">
        <f>'Res Compliance Calculator'!E59</f>
        <v>0</v>
      </c>
      <c r="C13" s="10">
        <f>'Res Compliance Calculator'!C59</f>
        <v>0</v>
      </c>
      <c r="D13" s="10">
        <f>'Res Compliance Calculator'!J59</f>
        <v>0</v>
      </c>
      <c r="E13" t="str">
        <f>IF(AND(OR(A13='Res - Ordinance Values'!$B$24,A13='Res - Ordinance Values'!$B$23,A13='Res - Ordinance Values'!$B$26),OR(D13='Res - Ordinance Values'!$B$10,AND(OR(D13='Res - Ordinance Values'!$B$11,D13='Res - Ordinance Values'!$B$17),'Res Compliance Calculator'!$D$28&lt;&gt;"Multi-Family"),D13='Res - Ordinance Values'!$B$12,D13='Res - Ordinance Values'!$B$16,D13='Res - Ordinance Values'!$B$19)),"Unapproved use of unshielded or partially shielded fixtures, ","")</f>
        <v/>
      </c>
      <c r="F13" s="69" t="str" cm="1">
        <f t="array" ref="F13">_xlfn.IFNA(IF('Res Compliance Calculator'!D59='Res - Ordinance Values'!$B$27,"",(IF('Res Compliance Calculator'!$F59&gt;VLOOKUP('Res Compliance Calculator'!$D59,'Res - Ordinance Values'!$B$23:$F$28,_xlfn.IFS('Res Compliance Calculator'!$D$29="LZ1",3,'Res Compliance Calculator'!$D$29="LZ2",4),FALSE),"Lumens exceed limit,",""))),"")</f>
        <v/>
      </c>
      <c r="G13" s="56"/>
      <c r="H13" s="57" t="str">
        <f>IF('Res Compliance Calculator'!I59="","",IF('Res Compliance Calculator'!I59&gt;3000,"CCT too high,",""))</f>
        <v/>
      </c>
      <c r="I13" s="69" t="str">
        <f>IF('Res Compliance Calculator'!I59="","",IF('Res Compliance Calculator'!I59&lt;2700,"CCT too low,",""))</f>
        <v/>
      </c>
      <c r="J13" s="70"/>
      <c r="K13" s="56"/>
      <c r="L13" s="69" t="str">
        <f>IF('Res Compliance Calculator'!$L59&lt;='Res Compliance Calculator'!$K59,"","Exceeds allowed mounting height,")</f>
        <v/>
      </c>
      <c r="M13" s="65"/>
      <c r="N13" s="66"/>
      <c r="O13" s="66"/>
      <c r="S13" t="str">
        <f t="shared" si="0"/>
        <v>Pass</v>
      </c>
      <c r="T13" t="b">
        <f>COUNTBLANK('Res Compliance Calculator'!C59:L59)&gt;0</f>
        <v>1</v>
      </c>
      <c r="U13" t="str">
        <f>IF(Proposed_analysis[[#This Row],[Info?]]=FALSE,Proposed_analysis[[#This Row],[PASS/FAIL]],"More info needed")</f>
        <v>More info needed</v>
      </c>
    </row>
    <row r="14" spans="1:21" x14ac:dyDescent="0.3">
      <c r="A14" s="10">
        <f>'Res Compliance Calculator'!D60</f>
        <v>0</v>
      </c>
      <c r="B14" s="10">
        <f>'Res Compliance Calculator'!E60</f>
        <v>0</v>
      </c>
      <c r="C14" s="10">
        <f>'Res Compliance Calculator'!C60</f>
        <v>0</v>
      </c>
      <c r="D14" s="10">
        <f>'Res Compliance Calculator'!J60</f>
        <v>0</v>
      </c>
      <c r="E14" t="str">
        <f>IF(AND(OR(A14='Res - Ordinance Values'!$B$24,A14='Res - Ordinance Values'!$B$23,A14='Res - Ordinance Values'!$B$26),OR(D14='Res - Ordinance Values'!$B$10,AND(OR(D14='Res - Ordinance Values'!$B$11,D14='Res - Ordinance Values'!$B$17),'Res Compliance Calculator'!$D$28&lt;&gt;"Multi-Family"),D14='Res - Ordinance Values'!$B$12,D14='Res - Ordinance Values'!$B$16,D14='Res - Ordinance Values'!$B$19)),"Unapproved use of unshielded or partially shielded fixtures, ","")</f>
        <v/>
      </c>
      <c r="F14" s="69" t="str" cm="1">
        <f t="array" ref="F14">_xlfn.IFNA(IF('Res Compliance Calculator'!D60='Res - Ordinance Values'!$B$27,"",(IF('Res Compliance Calculator'!$F60&gt;VLOOKUP('Res Compliance Calculator'!$D60,'Res - Ordinance Values'!$B$23:$F$28,_xlfn.IFS('Res Compliance Calculator'!$D$29="LZ1",3,'Res Compliance Calculator'!$D$29="LZ2",4),FALSE),"Lumens exceed limit,",""))),"")</f>
        <v/>
      </c>
      <c r="G14" s="56"/>
      <c r="H14" s="57" t="str">
        <f>IF('Res Compliance Calculator'!I60="","",IF('Res Compliance Calculator'!I60&gt;3000,"CCT too high,",""))</f>
        <v/>
      </c>
      <c r="I14" s="69" t="str">
        <f>IF('Res Compliance Calculator'!I60="","",IF('Res Compliance Calculator'!I60&lt;2700,"CCT too low,",""))</f>
        <v/>
      </c>
      <c r="J14" s="70"/>
      <c r="K14" s="56"/>
      <c r="L14" s="69" t="str">
        <f>IF('Res Compliance Calculator'!$L60&lt;='Res Compliance Calculator'!$K60,"","Exceeds allowed mounting height,")</f>
        <v/>
      </c>
      <c r="M14" s="65"/>
      <c r="N14" s="66"/>
      <c r="O14" s="66"/>
      <c r="S14" t="str">
        <f t="shared" si="0"/>
        <v>Pass</v>
      </c>
      <c r="T14" t="b">
        <f>COUNTBLANK('Res Compliance Calculator'!C60:L60)&gt;0</f>
        <v>1</v>
      </c>
      <c r="U14" t="str">
        <f>IF(Proposed_analysis[[#This Row],[Info?]]=FALSE,Proposed_analysis[[#This Row],[PASS/FAIL]],"More info needed")</f>
        <v>More info needed</v>
      </c>
    </row>
    <row r="15" spans="1:21" x14ac:dyDescent="0.3">
      <c r="A15" s="10">
        <f>'Res Compliance Calculator'!D61</f>
        <v>0</v>
      </c>
      <c r="B15" s="10">
        <f>'Res Compliance Calculator'!E61</f>
        <v>0</v>
      </c>
      <c r="C15" s="10">
        <f>'Res Compliance Calculator'!C61</f>
        <v>0</v>
      </c>
      <c r="D15" s="10">
        <f>'Res Compliance Calculator'!J61</f>
        <v>0</v>
      </c>
      <c r="E15" t="str">
        <f>IF(AND(OR(A15='Res - Ordinance Values'!$B$24,A15='Res - Ordinance Values'!$B$23,A15='Res - Ordinance Values'!$B$26),OR(D15='Res - Ordinance Values'!$B$10,AND(OR(D15='Res - Ordinance Values'!$B$11,D15='Res - Ordinance Values'!$B$17),'Res Compliance Calculator'!$D$28&lt;&gt;"Multi-Family"),D15='Res - Ordinance Values'!$B$12,D15='Res - Ordinance Values'!$B$16,D15='Res - Ordinance Values'!$B$19)),"Unapproved use of unshielded or partially shielded fixtures, ","")</f>
        <v/>
      </c>
      <c r="F15" s="69" t="str" cm="1">
        <f t="array" ref="F15">_xlfn.IFNA(IF('Res Compliance Calculator'!D61='Res - Ordinance Values'!$B$27,"",(IF('Res Compliance Calculator'!$F61&gt;VLOOKUP('Res Compliance Calculator'!$D61,'Res - Ordinance Values'!$B$23:$F$28,_xlfn.IFS('Res Compliance Calculator'!$D$29="LZ1",3,'Res Compliance Calculator'!$D$29="LZ2",4),FALSE),"Lumens exceed limit,",""))),"")</f>
        <v/>
      </c>
      <c r="G15" s="56"/>
      <c r="H15" s="57" t="str">
        <f>IF('Res Compliance Calculator'!I61="","",IF('Res Compliance Calculator'!I61&gt;3000,"CCT too high,",""))</f>
        <v/>
      </c>
      <c r="I15" s="69" t="str">
        <f>IF('Res Compliance Calculator'!I61="","",IF('Res Compliance Calculator'!I61&lt;2700,"CCT too low,",""))</f>
        <v/>
      </c>
      <c r="J15" s="70"/>
      <c r="K15" s="56"/>
      <c r="L15" s="69" t="str">
        <f>IF('Res Compliance Calculator'!$L61&lt;='Res Compliance Calculator'!$K61,"","Exceeds allowed mounting height,")</f>
        <v/>
      </c>
      <c r="M15" s="65"/>
      <c r="N15" s="66"/>
      <c r="O15" s="66"/>
      <c r="S15" t="str">
        <f t="shared" si="0"/>
        <v>Pass</v>
      </c>
      <c r="T15" t="b">
        <f>COUNTBLANK('Res Compliance Calculator'!C61:L61)&gt;0</f>
        <v>1</v>
      </c>
      <c r="U15" t="str">
        <f>IF(Proposed_analysis[[#This Row],[Info?]]=FALSE,Proposed_analysis[[#This Row],[PASS/FAIL]],"More info needed")</f>
        <v>More info needed</v>
      </c>
    </row>
    <row r="16" spans="1:21" x14ac:dyDescent="0.3">
      <c r="A16" s="10">
        <f>'Res Compliance Calculator'!D62</f>
        <v>0</v>
      </c>
      <c r="B16" s="10">
        <f>'Res Compliance Calculator'!E62</f>
        <v>0</v>
      </c>
      <c r="C16" s="10">
        <f>'Res Compliance Calculator'!C62</f>
        <v>0</v>
      </c>
      <c r="D16" s="10">
        <f>'Res Compliance Calculator'!J62</f>
        <v>0</v>
      </c>
      <c r="E16" t="str">
        <f>IF(AND(OR(A16='Res - Ordinance Values'!$B$24,A16='Res - Ordinance Values'!$B$23,A16='Res - Ordinance Values'!$B$26),OR(D16='Res - Ordinance Values'!$B$10,AND(OR(D16='Res - Ordinance Values'!$B$11,D16='Res - Ordinance Values'!$B$17),'Res Compliance Calculator'!$D$28&lt;&gt;"Multi-Family"),D16='Res - Ordinance Values'!$B$12,D16='Res - Ordinance Values'!$B$16,D16='Res - Ordinance Values'!$B$19)),"Unapproved use of unshielded or partially shielded fixtures, ","")</f>
        <v/>
      </c>
      <c r="F16" s="69" t="str" cm="1">
        <f t="array" ref="F16">_xlfn.IFNA(IF('Res Compliance Calculator'!D62='Res - Ordinance Values'!$B$27,"",(IF('Res Compliance Calculator'!$F62&gt;VLOOKUP('Res Compliance Calculator'!$D62,'Res - Ordinance Values'!$B$23:$F$28,_xlfn.IFS('Res Compliance Calculator'!$D$29="LZ1",3,'Res Compliance Calculator'!$D$29="LZ2",4),FALSE),"Lumens exceed limit,",""))),"")</f>
        <v/>
      </c>
      <c r="G16" s="56"/>
      <c r="H16" s="57" t="str">
        <f>IF('Res Compliance Calculator'!I62="","",IF('Res Compliance Calculator'!I62&gt;3000,"CCT too high,",""))</f>
        <v/>
      </c>
      <c r="I16" s="69" t="str">
        <f>IF('Res Compliance Calculator'!I62="","",IF('Res Compliance Calculator'!I62&lt;2700,"CCT too low,",""))</f>
        <v/>
      </c>
      <c r="J16" s="70"/>
      <c r="K16" s="56"/>
      <c r="L16" s="69" t="str">
        <f>IF('Res Compliance Calculator'!$L62&lt;='Res Compliance Calculator'!$K62,"","Exceeds allowed mounting height,")</f>
        <v/>
      </c>
      <c r="M16" s="65"/>
      <c r="N16" s="66"/>
      <c r="O16" s="66"/>
      <c r="S16" t="str">
        <f t="shared" si="0"/>
        <v>Pass</v>
      </c>
      <c r="T16" t="b">
        <f>COUNTBLANK('Res Compliance Calculator'!C62:L62)&gt;0</f>
        <v>1</v>
      </c>
      <c r="U16" t="str">
        <f>IF(Proposed_analysis[[#This Row],[Info?]]=FALSE,Proposed_analysis[[#This Row],[PASS/FAIL]],"More info needed")</f>
        <v>More info needed</v>
      </c>
    </row>
    <row r="17" spans="1:27" x14ac:dyDescent="0.3">
      <c r="A17" s="10">
        <f>'Res Compliance Calculator'!D63</f>
        <v>0</v>
      </c>
      <c r="B17" s="10">
        <f>'Res Compliance Calculator'!E63</f>
        <v>0</v>
      </c>
      <c r="C17" s="10">
        <f>'Res Compliance Calculator'!C63</f>
        <v>0</v>
      </c>
      <c r="D17" s="10">
        <f>'Res Compliance Calculator'!J63</f>
        <v>0</v>
      </c>
      <c r="E17" t="str">
        <f>IF(AND(OR(A17='Res - Ordinance Values'!$B$24,A17='Res - Ordinance Values'!$B$23,A17='Res - Ordinance Values'!$B$26),OR(D17='Res - Ordinance Values'!$B$10,AND(OR(D17='Res - Ordinance Values'!$B$11,D17='Res - Ordinance Values'!$B$17),'Res Compliance Calculator'!$D$28&lt;&gt;"Multi-Family"),D17='Res - Ordinance Values'!$B$12,D17='Res - Ordinance Values'!$B$16,D17='Res - Ordinance Values'!$B$19)),"Unapproved use of unshielded or partially shielded fixtures, ","")</f>
        <v/>
      </c>
      <c r="F17" s="69" t="str" cm="1">
        <f t="array" ref="F17">_xlfn.IFNA(IF('Res Compliance Calculator'!D63='Res - Ordinance Values'!$B$27,"",(IF('Res Compliance Calculator'!$F63&gt;VLOOKUP('Res Compliance Calculator'!$D63,'Res - Ordinance Values'!$B$23:$F$28,_xlfn.IFS('Res Compliance Calculator'!$D$29="LZ1",3,'Res Compliance Calculator'!$D$29="LZ2",4),FALSE),"Lumens exceed limit,",""))),"")</f>
        <v/>
      </c>
      <c r="G17" s="56"/>
      <c r="H17" s="57" t="str">
        <f>IF('Res Compliance Calculator'!I63="","",IF('Res Compliance Calculator'!I63&gt;3000,"CCT too high,",""))</f>
        <v/>
      </c>
      <c r="I17" s="69" t="str">
        <f>IF('Res Compliance Calculator'!I63="","",IF('Res Compliance Calculator'!I63&lt;2700,"CCT too low,",""))</f>
        <v/>
      </c>
      <c r="J17" s="70"/>
      <c r="K17" s="56"/>
      <c r="L17" s="69" t="str">
        <f>IF('Res Compliance Calculator'!$L63&lt;='Res Compliance Calculator'!$K63,"","Exceeds allowed mounting height,")</f>
        <v/>
      </c>
      <c r="M17" s="65"/>
      <c r="N17" s="66"/>
      <c r="O17" s="66"/>
      <c r="S17" t="str">
        <f t="shared" si="0"/>
        <v>Pass</v>
      </c>
      <c r="T17" t="b">
        <f>COUNTBLANK('Res Compliance Calculator'!C63:L63)&gt;0</f>
        <v>1</v>
      </c>
      <c r="U17" t="str">
        <f>IF(Proposed_analysis[[#This Row],[Info?]]=FALSE,Proposed_analysis[[#This Row],[PASS/FAIL]],"More info needed")</f>
        <v>More info needed</v>
      </c>
    </row>
    <row r="18" spans="1:27" x14ac:dyDescent="0.3">
      <c r="A18" s="10">
        <f>'Res Compliance Calculator'!D64</f>
        <v>0</v>
      </c>
      <c r="B18" s="10">
        <f>'Res Compliance Calculator'!E64</f>
        <v>0</v>
      </c>
      <c r="C18" s="10">
        <f>'Res Compliance Calculator'!C64</f>
        <v>0</v>
      </c>
      <c r="D18" s="10">
        <f>'Res Compliance Calculator'!J64</f>
        <v>0</v>
      </c>
      <c r="E18" t="str">
        <f>IF(AND(OR(A18='Res - Ordinance Values'!$B$24,A18='Res - Ordinance Values'!$B$23,A18='Res - Ordinance Values'!$B$26),OR(D18='Res - Ordinance Values'!$B$10,AND(OR(D18='Res - Ordinance Values'!$B$11,D18='Res - Ordinance Values'!$B$17),'Res Compliance Calculator'!$D$28&lt;&gt;"Multi-Family"),D18='Res - Ordinance Values'!$B$12,D18='Res - Ordinance Values'!$B$16,D18='Res - Ordinance Values'!$B$19)),"Unapproved use of unshielded or partially shielded fixtures, ","")</f>
        <v/>
      </c>
      <c r="F18" s="69" t="str" cm="1">
        <f t="array" ref="F18">_xlfn.IFNA(IF('Res Compliance Calculator'!D64='Res - Ordinance Values'!$B$27,"",(IF('Res Compliance Calculator'!$F64&gt;VLOOKUP('Res Compliance Calculator'!$D64,'Res - Ordinance Values'!$B$23:$F$28,_xlfn.IFS('Res Compliance Calculator'!$D$29="LZ1",3,'Res Compliance Calculator'!$D$29="LZ2",4),FALSE),"Lumens exceed limit,",""))),"")</f>
        <v/>
      </c>
      <c r="G18" s="56"/>
      <c r="H18" s="57" t="str">
        <f>IF('Res Compliance Calculator'!I64="","",IF('Res Compliance Calculator'!I64&gt;3000,"CCT too high,",""))</f>
        <v/>
      </c>
      <c r="I18" s="69" t="str">
        <f>IF('Res Compliance Calculator'!I64="","",IF('Res Compliance Calculator'!I64&lt;2700,"CCT too low,",""))</f>
        <v/>
      </c>
      <c r="J18" s="70"/>
      <c r="K18" s="56"/>
      <c r="L18" s="69" t="str">
        <f>IF('Res Compliance Calculator'!$L64&lt;='Res Compliance Calculator'!$K64,"","Exceeds allowed mounting height,")</f>
        <v/>
      </c>
      <c r="M18" s="65"/>
      <c r="N18" s="66"/>
      <c r="O18" s="66"/>
      <c r="S18" t="str">
        <f t="shared" si="0"/>
        <v>Pass</v>
      </c>
      <c r="T18" t="b">
        <f>COUNTBLANK('Res Compliance Calculator'!C64:L64)&gt;0</f>
        <v>1</v>
      </c>
      <c r="U18" t="str">
        <f>IF(Proposed_analysis[[#This Row],[Info?]]=FALSE,Proposed_analysis[[#This Row],[PASS/FAIL]],"More info needed")</f>
        <v>More info needed</v>
      </c>
    </row>
    <row r="19" spans="1:27" x14ac:dyDescent="0.3">
      <c r="A19" s="10">
        <f>'Res Compliance Calculator'!D65</f>
        <v>0</v>
      </c>
      <c r="B19" s="10">
        <f>'Res Compliance Calculator'!E65</f>
        <v>0</v>
      </c>
      <c r="C19" s="10">
        <f>'Res Compliance Calculator'!C65</f>
        <v>0</v>
      </c>
      <c r="D19" s="10">
        <f>'Res Compliance Calculator'!J65</f>
        <v>0</v>
      </c>
      <c r="E19" t="str">
        <f>IF(AND(OR(A19='Res - Ordinance Values'!$B$24,A19='Res - Ordinance Values'!$B$23,A19='Res - Ordinance Values'!$B$26),OR(D19='Res - Ordinance Values'!$B$10,AND(OR(D19='Res - Ordinance Values'!$B$11,D19='Res - Ordinance Values'!$B$17),'Res Compliance Calculator'!$D$28&lt;&gt;"Multi-Family"),D19='Res - Ordinance Values'!$B$12,D19='Res - Ordinance Values'!$B$16,D19='Res - Ordinance Values'!$B$19)),"Unapproved use of unshielded or partially shielded fixtures, ","")</f>
        <v/>
      </c>
      <c r="F19" s="69" t="str" cm="1">
        <f t="array" ref="F19">_xlfn.IFNA(IF('Res Compliance Calculator'!D65='Res - Ordinance Values'!$B$27,"",(IF('Res Compliance Calculator'!$F65&gt;VLOOKUP('Res Compliance Calculator'!$D65,'Res - Ordinance Values'!$B$23:$F$28,_xlfn.IFS('Res Compliance Calculator'!$D$29="LZ1",3,'Res Compliance Calculator'!$D$29="LZ2",4),FALSE),"Lumens exceed limit,",""))),"")</f>
        <v/>
      </c>
      <c r="G19" s="56"/>
      <c r="H19" s="57" t="str">
        <f>IF('Res Compliance Calculator'!I65="","",IF('Res Compliance Calculator'!I65&gt;3000,"CCT too high,",""))</f>
        <v/>
      </c>
      <c r="I19" s="69" t="str">
        <f>IF('Res Compliance Calculator'!I65="","",IF('Res Compliance Calculator'!I65&lt;2700,"CCT too low,",""))</f>
        <v/>
      </c>
      <c r="J19" s="70"/>
      <c r="K19" s="56"/>
      <c r="L19" s="69" t="str">
        <f>IF('Res Compliance Calculator'!$L65&lt;='Res Compliance Calculator'!$K65,"","Exceeds allowed mounting height,")</f>
        <v/>
      </c>
      <c r="M19" s="65"/>
      <c r="N19" s="66"/>
      <c r="O19" s="66"/>
      <c r="S19" t="str">
        <f t="shared" si="0"/>
        <v>Pass</v>
      </c>
      <c r="T19" t="b">
        <f>COUNTBLANK('Res Compliance Calculator'!C65:L65)&gt;0</f>
        <v>1</v>
      </c>
      <c r="U19" t="str">
        <f>IF(Proposed_analysis[[#This Row],[Info?]]=FALSE,Proposed_analysis[[#This Row],[PASS/FAIL]],"More info needed")</f>
        <v>More info needed</v>
      </c>
    </row>
    <row r="20" spans="1:27" x14ac:dyDescent="0.3">
      <c r="A20" s="10">
        <f>'Res Compliance Calculator'!D66</f>
        <v>0</v>
      </c>
      <c r="B20" s="10">
        <f>'Res Compliance Calculator'!E66</f>
        <v>0</v>
      </c>
      <c r="C20" s="10">
        <f>'Res Compliance Calculator'!C66</f>
        <v>0</v>
      </c>
      <c r="D20" s="10">
        <f>'Res Compliance Calculator'!J66</f>
        <v>0</v>
      </c>
      <c r="E20" t="str">
        <f>IF(AND(OR(A20='Res - Ordinance Values'!$B$24,A20='Res - Ordinance Values'!$B$23,A20='Res - Ordinance Values'!$B$26),OR(D20='Res - Ordinance Values'!$B$10,AND(OR(D20='Res - Ordinance Values'!$B$11,D20='Res - Ordinance Values'!$B$17),'Res Compliance Calculator'!$D$28&lt;&gt;"Multi-Family"),D20='Res - Ordinance Values'!$B$12,D20='Res - Ordinance Values'!$B$16,D20='Res - Ordinance Values'!$B$19)),"Unapproved use of unshielded or partially shielded fixtures, ","")</f>
        <v/>
      </c>
      <c r="F20" s="69" t="str" cm="1">
        <f t="array" ref="F20">_xlfn.IFNA(IF('Res Compliance Calculator'!D66='Res - Ordinance Values'!$B$27,"",(IF('Res Compliance Calculator'!$F66&gt;VLOOKUP('Res Compliance Calculator'!$D66,'Res - Ordinance Values'!$B$23:$F$28,_xlfn.IFS('Res Compliance Calculator'!$D$29="LZ1",3,'Res Compliance Calculator'!$D$29="LZ2",4),FALSE),"Lumens exceed limit,",""))),"")</f>
        <v/>
      </c>
      <c r="G20" s="56"/>
      <c r="H20" s="57" t="str">
        <f>IF('Res Compliance Calculator'!I66="","",IF('Res Compliance Calculator'!I66&gt;3000,"CCT too high,",""))</f>
        <v/>
      </c>
      <c r="I20" s="69" t="str">
        <f>IF('Res Compliance Calculator'!I66="","",IF('Res Compliance Calculator'!I66&lt;2700,"CCT too low,",""))</f>
        <v/>
      </c>
      <c r="J20" s="70"/>
      <c r="K20" s="56"/>
      <c r="L20" s="69" t="str">
        <f>IF('Res Compliance Calculator'!$L66&lt;='Res Compliance Calculator'!$K66,"","Exceeds allowed mounting height,")</f>
        <v/>
      </c>
      <c r="M20" s="65"/>
      <c r="N20" s="66"/>
      <c r="O20" s="66"/>
      <c r="S20" t="str">
        <f t="shared" si="0"/>
        <v>Pass</v>
      </c>
      <c r="T20" t="b">
        <f>COUNTBLANK('Res Compliance Calculator'!C66:L66)&gt;0</f>
        <v>1</v>
      </c>
      <c r="U20" t="str">
        <f>IF(Proposed_analysis[[#This Row],[Info?]]=FALSE,Proposed_analysis[[#This Row],[PASS/FAIL]],"More info needed")</f>
        <v>More info needed</v>
      </c>
    </row>
    <row r="21" spans="1:27" x14ac:dyDescent="0.3">
      <c r="A21" s="10" t="str">
        <f>'Res Compliance Calculator'!D67</f>
        <v>Data</v>
      </c>
      <c r="B21" s="10" t="str">
        <f>'Res Compliance Calculator'!E67</f>
        <v>Unit</v>
      </c>
      <c r="C21" s="10" t="str">
        <f>'Res Compliance Calculator'!C67</f>
        <v>Description</v>
      </c>
      <c r="D21" s="10">
        <f>'Res Compliance Calculator'!J67</f>
        <v>0</v>
      </c>
      <c r="E21" t="str">
        <f>IF(AND(OR(A21='Res - Ordinance Values'!$B$24,A21='Res - Ordinance Values'!$B$23,A21='Res - Ordinance Values'!$B$26),OR(D21='Res - Ordinance Values'!$B$10,AND(OR(D21='Res - Ordinance Values'!$B$11,D21='Res - Ordinance Values'!$B$17),'Res Compliance Calculator'!$D$28&lt;&gt;"Multi-Family"),D21='Res - Ordinance Values'!$B$12,D21='Res - Ordinance Values'!$B$16,D21='Res - Ordinance Values'!$B$19)),"Unapproved use of unshielded or partially shielded fixtures, ","")</f>
        <v/>
      </c>
      <c r="F21" s="69" t="str" cm="1">
        <f t="array" ref="F21">_xlfn.IFNA(IF('Res Compliance Calculator'!D67='Res - Ordinance Values'!$B$27,"",(IF('Res Compliance Calculator'!$F67&gt;VLOOKUP('Res Compliance Calculator'!$D67,'Res - Ordinance Values'!$B$23:$F$28,_xlfn.IFS('Res Compliance Calculator'!$D$29="LZ1",3,'Res Compliance Calculator'!$D$29="LZ2",4),FALSE),"Lumens exceed limit,",""))),"")</f>
        <v/>
      </c>
      <c r="G21" s="56"/>
      <c r="H21" s="57" t="str">
        <f>IF('Res Compliance Calculator'!I67="","",IF('Res Compliance Calculator'!I67&gt;3000,"CCT too high,",""))</f>
        <v/>
      </c>
      <c r="I21" s="69" t="str">
        <f>IF('Res Compliance Calculator'!I67="","",IF('Res Compliance Calculator'!I67&lt;2700,"CCT too low,",""))</f>
        <v/>
      </c>
      <c r="J21" s="70"/>
      <c r="K21" s="56"/>
      <c r="L21" s="69" t="str">
        <f>IF('Res Compliance Calculator'!$L67&lt;='Res Compliance Calculator'!$K67,"","Exceeds allowed mounting height,")</f>
        <v/>
      </c>
      <c r="M21" s="65"/>
      <c r="N21" s="66"/>
      <c r="O21" s="66"/>
      <c r="S21" t="str">
        <f t="shared" si="0"/>
        <v>Pass</v>
      </c>
      <c r="T21" t="b">
        <f>COUNTBLANK('Res Compliance Calculator'!C67:L67)&gt;0</f>
        <v>1</v>
      </c>
      <c r="U21" t="str">
        <f>IF(Proposed_analysis[[#This Row],[Info?]]=FALSE,Proposed_analysis[[#This Row],[PASS/FAIL]],"More info needed")</f>
        <v>More info needed</v>
      </c>
      <c r="AA21" s="94" t="str">
        <f>IF(AND(OR(A7='Res - Ordinance Values'!$B$24,A7='Res - Ordinance Values'!$B$23,A7='Res - Ordinance Values'!$B$26),OR(D7='Res - Ordinance Values'!$B$10,AND(OR(D7='Res - Ordinance Values'!$B$11,D7='Res - Ordinance Values'!$B$17),'Res Compliance Calculator'!$D$28&lt;&gt;"Multi-Family"),D7='Res - Ordinance Values'!$B$12,D7='Res - Ordinance Values'!$B$16,D7='Res - Ordinance Values'!$B$19)),"Unapproved use of unshielded or partially shielded fixtures, ","")</f>
        <v/>
      </c>
    </row>
    <row r="22" spans="1:27" x14ac:dyDescent="0.3">
      <c r="A22" s="10">
        <f>'Res Compliance Calculator'!D68</f>
        <v>2700</v>
      </c>
      <c r="B22" s="10" t="str">
        <f>'Res Compliance Calculator'!E68</f>
        <v>lumens</v>
      </c>
      <c r="C22" s="10" t="str">
        <f>'Res Compliance Calculator'!C68</f>
        <v>Total base lumen allowance</v>
      </c>
      <c r="D22" s="10">
        <f>'Res Compliance Calculator'!J68</f>
        <v>0</v>
      </c>
      <c r="E22" t="str">
        <f>IF(AND(OR(A22='Res - Ordinance Values'!$B$24,A22='Res - Ordinance Values'!$B$23,A22='Res - Ordinance Values'!$B$26),OR(D22='Res - Ordinance Values'!$B$10,AND(OR(D22='Res - Ordinance Values'!$B$11,D22='Res - Ordinance Values'!$B$17),'Res Compliance Calculator'!$D$28&lt;&gt;"Multi-Family"),D22='Res - Ordinance Values'!$B$12,D22='Res - Ordinance Values'!$B$16,D22='Res - Ordinance Values'!$B$19)),"Unapproved use of unshielded or partially shielded fixtures, ","")</f>
        <v/>
      </c>
      <c r="F22" s="69" t="str" cm="1">
        <f t="array" ref="F22">_xlfn.IFNA(IF('Res Compliance Calculator'!D68='Res - Ordinance Values'!$B$27,"",(IF('Res Compliance Calculator'!$F68&gt;VLOOKUP('Res Compliance Calculator'!$D68,'Res - Ordinance Values'!$B$23:$F$28,_xlfn.IFS('Res Compliance Calculator'!$D$29="LZ1",3,'Res Compliance Calculator'!$D$29="LZ2",4),FALSE),"Lumens exceed limit,",""))),"")</f>
        <v/>
      </c>
      <c r="G22" s="56"/>
      <c r="H22" s="57" t="str">
        <f>IF('Res Compliance Calculator'!I68="","",IF('Res Compliance Calculator'!I68&gt;3000,"CCT too high,",""))</f>
        <v/>
      </c>
      <c r="I22" s="69" t="str">
        <f>IF('Res Compliance Calculator'!I68="","",IF('Res Compliance Calculator'!I68&lt;2700,"CCT too low,",""))</f>
        <v/>
      </c>
      <c r="J22" s="70"/>
      <c r="K22" s="56"/>
      <c r="L22" s="69" t="str">
        <f>IF('Res Compliance Calculator'!$L68&lt;='Res Compliance Calculator'!$K68,"","Exceeds allowed mounting height,")</f>
        <v/>
      </c>
      <c r="M22" s="65"/>
      <c r="N22" s="66"/>
      <c r="O22" s="66"/>
      <c r="S22" t="str">
        <f t="shared" si="0"/>
        <v>Pass</v>
      </c>
      <c r="T22" t="b">
        <f>COUNTBLANK('Res Compliance Calculator'!C68:L68)&gt;0</f>
        <v>1</v>
      </c>
      <c r="U22" t="str">
        <f>IF(Proposed_analysis[[#This Row],[Info?]]=FALSE,Proposed_analysis[[#This Row],[PASS/FAIL]],"More info needed")</f>
        <v>More info needed</v>
      </c>
    </row>
    <row r="23" spans="1:27" x14ac:dyDescent="0.3">
      <c r="A23" s="10">
        <f>'Res Compliance Calculator'!D69</f>
        <v>0</v>
      </c>
      <c r="B23" s="10" t="str">
        <f>'Res Compliance Calculator'!E69</f>
        <v>lumens</v>
      </c>
      <c r="C23" s="10" t="str">
        <f>'Res Compliance Calculator'!C69</f>
        <v>Total additional allowed lumens</v>
      </c>
      <c r="D23" s="10">
        <f>'Res Compliance Calculator'!J69</f>
        <v>0</v>
      </c>
      <c r="E23" t="str">
        <f>IF(AND(OR(A23='Res - Ordinance Values'!$B$24,A23='Res - Ordinance Values'!$B$23,A23='Res - Ordinance Values'!$B$26),OR(D23='Res - Ordinance Values'!$B$10,AND(OR(D23='Res - Ordinance Values'!$B$11,D23='Res - Ordinance Values'!$B$17),'Res Compliance Calculator'!$D$28&lt;&gt;"Multi-Family"),D23='Res - Ordinance Values'!$B$12,D23='Res - Ordinance Values'!$B$16,D23='Res - Ordinance Values'!$B$19)),"Unapproved use of unshielded or partially shielded fixtures, ","")</f>
        <v/>
      </c>
      <c r="F23" s="69" t="str" cm="1">
        <f t="array" ref="F23">_xlfn.IFNA(IF('Res Compliance Calculator'!D69='Res - Ordinance Values'!$B$27,"",(IF('Res Compliance Calculator'!$F69&gt;VLOOKUP('Res Compliance Calculator'!$D69,'Res - Ordinance Values'!$B$23:$F$28,_xlfn.IFS('Res Compliance Calculator'!$D$29="LZ1",3,'Res Compliance Calculator'!$D$29="LZ2",4),FALSE),"Lumens exceed limit,",""))),"")</f>
        <v/>
      </c>
      <c r="G23" s="56"/>
      <c r="H23" s="57" t="str">
        <f>IF('Res Compliance Calculator'!I69="","",IF('Res Compliance Calculator'!I69&gt;3000,"CCT too high,",""))</f>
        <v/>
      </c>
      <c r="I23" s="69" t="str">
        <f>IF('Res Compliance Calculator'!I69="","",IF('Res Compliance Calculator'!I69&lt;2700,"CCT too low,",""))</f>
        <v/>
      </c>
      <c r="J23" s="70"/>
      <c r="K23" s="56"/>
      <c r="L23" s="69" t="str">
        <f>IF('Res Compliance Calculator'!$L69&lt;='Res Compliance Calculator'!$K69,"","Exceeds allowed mounting height,")</f>
        <v/>
      </c>
      <c r="M23" s="65"/>
      <c r="N23" s="66"/>
      <c r="O23" s="66"/>
      <c r="S23" t="str">
        <f t="shared" si="0"/>
        <v>Pass</v>
      </c>
      <c r="T23" t="b">
        <f>COUNTBLANK('Res Compliance Calculator'!C69:L69)&gt;0</f>
        <v>1</v>
      </c>
      <c r="U23" t="str">
        <f>IF(Proposed_analysis[[#This Row],[Info?]]=FALSE,Proposed_analysis[[#This Row],[PASS/FAIL]],"More info needed")</f>
        <v>More info needed</v>
      </c>
    </row>
    <row r="24" spans="1:27" x14ac:dyDescent="0.3">
      <c r="A24" s="10">
        <f>'Res Compliance Calculator'!D70</f>
        <v>2700</v>
      </c>
      <c r="B24" s="10" t="str">
        <f>'Res Compliance Calculator'!E70</f>
        <v>lumens</v>
      </c>
      <c r="C24" s="10" t="str">
        <f>'Res Compliance Calculator'!C70</f>
        <v>Total lumen allowance</v>
      </c>
      <c r="D24" s="10">
        <f>'Res Compliance Calculator'!J70</f>
        <v>0</v>
      </c>
      <c r="E24" t="str">
        <f>IF(AND(OR(A24='Res - Ordinance Values'!$B$24,A24='Res - Ordinance Values'!$B$23,A24='Res - Ordinance Values'!$B$26),OR(D24='Res - Ordinance Values'!$B$10,AND(OR(D24='Res - Ordinance Values'!$B$11,D24='Res - Ordinance Values'!$B$17),'Res Compliance Calculator'!$D$28&lt;&gt;"Multi-Family"),D24='Res - Ordinance Values'!$B$12,D24='Res - Ordinance Values'!$B$16,D24='Res - Ordinance Values'!$B$19)),"Unapproved use of unshielded or partially shielded fixtures, ","")</f>
        <v/>
      </c>
      <c r="F24" s="69" t="str" cm="1">
        <f t="array" ref="F24">_xlfn.IFNA(IF('Res Compliance Calculator'!D70='Res - Ordinance Values'!$B$27,"",(IF('Res Compliance Calculator'!$F70&gt;VLOOKUP('Res Compliance Calculator'!$D70,'Res - Ordinance Values'!$B$23:$F$28,_xlfn.IFS('Res Compliance Calculator'!$D$29="LZ1",3,'Res Compliance Calculator'!$D$29="LZ2",4),FALSE),"Lumens exceed limit,",""))),"")</f>
        <v/>
      </c>
      <c r="G24" s="56"/>
      <c r="H24" s="57" t="str">
        <f>IF('Res Compliance Calculator'!I70="","",IF('Res Compliance Calculator'!I70&gt;3000,"CCT too high,",""))</f>
        <v/>
      </c>
      <c r="I24" s="69" t="str">
        <f>IF('Res Compliance Calculator'!I70="","",IF('Res Compliance Calculator'!I70&lt;2700,"CCT too low,",""))</f>
        <v/>
      </c>
      <c r="J24" s="70"/>
      <c r="K24" s="56"/>
      <c r="L24" s="69" t="str">
        <f>IF('Res Compliance Calculator'!$L70&lt;='Res Compliance Calculator'!$K70,"","Exceeds allowed mounting height,")</f>
        <v/>
      </c>
      <c r="M24" s="65"/>
      <c r="N24" s="66"/>
      <c r="O24" s="66"/>
      <c r="S24" t="str">
        <f t="shared" si="0"/>
        <v>Pass</v>
      </c>
      <c r="T24" t="b">
        <f>COUNTBLANK('Res Compliance Calculator'!C70:L70)&gt;0</f>
        <v>1</v>
      </c>
      <c r="U24" t="str">
        <f>IF(Proposed_analysis[[#This Row],[Info?]]=FALSE,Proposed_analysis[[#This Row],[PASS/FAIL]],"More info needed")</f>
        <v>More info needed</v>
      </c>
    </row>
    <row r="25" spans="1:27" x14ac:dyDescent="0.3">
      <c r="A25" s="10">
        <f>'Res Compliance Calculator'!D71</f>
        <v>0</v>
      </c>
      <c r="B25" s="10">
        <f>'Res Compliance Calculator'!E71</f>
        <v>0</v>
      </c>
      <c r="C25" s="10">
        <f>'Res Compliance Calculator'!C71</f>
        <v>0</v>
      </c>
      <c r="D25" s="10">
        <f>'Res Compliance Calculator'!J71</f>
        <v>0</v>
      </c>
      <c r="E25" t="str">
        <f>IF(AND(OR(A25='Res - Ordinance Values'!$B$24,A25='Res - Ordinance Values'!$B$23,A25='Res - Ordinance Values'!$B$26),OR(D25='Res - Ordinance Values'!$B$10,AND(OR(D25='Res - Ordinance Values'!$B$11,D25='Res - Ordinance Values'!$B$17),'Res Compliance Calculator'!$D$28&lt;&gt;"Multi-Family"),D25='Res - Ordinance Values'!$B$12,D25='Res - Ordinance Values'!$B$16,D25='Res - Ordinance Values'!$B$19)),"Unapproved use of unshielded or partially shielded fixtures, ","")</f>
        <v/>
      </c>
      <c r="F25" s="69" t="str" cm="1">
        <f t="array" ref="F25">_xlfn.IFNA(IF('Res Compliance Calculator'!D71='Res - Ordinance Values'!$B$27,"",(IF('Res Compliance Calculator'!$F71&gt;VLOOKUP('Res Compliance Calculator'!$D71,'Res - Ordinance Values'!$B$23:$F$28,_xlfn.IFS('Res Compliance Calculator'!$D$29="LZ1",3,'Res Compliance Calculator'!$D$29="LZ2",4),FALSE),"Lumens exceed limit,",""))),"")</f>
        <v/>
      </c>
      <c r="G25" s="56"/>
      <c r="H25" s="57" t="str">
        <f>IF('Res Compliance Calculator'!I71="","",IF('Res Compliance Calculator'!I71&gt;3000,"CCT too high,",""))</f>
        <v/>
      </c>
      <c r="I25" s="69" t="str">
        <f>IF('Res Compliance Calculator'!I71="","",IF('Res Compliance Calculator'!I71&lt;2700,"CCT too low,",""))</f>
        <v/>
      </c>
      <c r="J25" s="70"/>
      <c r="K25" s="56"/>
      <c r="L25" s="69" t="str">
        <f>IF('Res Compliance Calculator'!$L71&lt;='Res Compliance Calculator'!$K71,"","Exceeds allowed mounting height,")</f>
        <v/>
      </c>
      <c r="M25" s="65"/>
      <c r="N25" s="66"/>
      <c r="O25" s="66"/>
      <c r="S25" t="str">
        <f t="shared" si="0"/>
        <v>Pass</v>
      </c>
      <c r="T25" t="b">
        <f>COUNTBLANK('Res Compliance Calculator'!C71:L71)&gt;0</f>
        <v>1</v>
      </c>
      <c r="U25" t="str">
        <f>IF(Proposed_analysis[[#This Row],[Info?]]=FALSE,Proposed_analysis[[#This Row],[PASS/FAIL]],"More info needed")</f>
        <v>More info needed</v>
      </c>
    </row>
    <row r="26" spans="1:27" x14ac:dyDescent="0.3">
      <c r="A26" s="10">
        <f ca="1">'Res Compliance Calculator'!D72</f>
        <v>0</v>
      </c>
      <c r="B26" s="10" t="str">
        <f>'Res Compliance Calculator'!E72</f>
        <v>lumens</v>
      </c>
      <c r="C26" s="10" t="str">
        <f>'Res Compliance Calculator'!C72</f>
        <v>Total proposed unshielded/partially shielded lumens</v>
      </c>
      <c r="D26" s="10">
        <f>'Res Compliance Calculator'!J72</f>
        <v>0</v>
      </c>
      <c r="E26" t="str">
        <f ca="1">IF(AND(OR(A26='Res - Ordinance Values'!$B$24,A26='Res - Ordinance Values'!$B$23,A26='Res - Ordinance Values'!$B$26),OR(D26='Res - Ordinance Values'!$B$10,AND(OR(D26='Res - Ordinance Values'!$B$11,D26='Res - Ordinance Values'!$B$17),'Res Compliance Calculator'!$D$28&lt;&gt;"Multi-Family"),D26='Res - Ordinance Values'!$B$12,D26='Res - Ordinance Values'!$B$16,D26='Res - Ordinance Values'!$B$19)),"Unapproved use of unshielded or partially shielded fixtures, ","")</f>
        <v/>
      </c>
      <c r="F26" s="69" t="str" cm="1">
        <f t="array" aca="1" ref="F26" ca="1">_xlfn.IFNA(IF('Res Compliance Calculator'!D72='Res - Ordinance Values'!$B$27,"",(IF('Res Compliance Calculator'!$F72&gt;VLOOKUP('Res Compliance Calculator'!$D72,'Res - Ordinance Values'!$B$23:$F$28,_xlfn.IFS('Res Compliance Calculator'!$D$29="LZ1",3,'Res Compliance Calculator'!$D$29="LZ2",4),FALSE),"Lumens exceed limit,",""))),"")</f>
        <v/>
      </c>
      <c r="G26" s="56"/>
      <c r="H26" s="57" t="str">
        <f>IF('Res Compliance Calculator'!I72="","",IF('Res Compliance Calculator'!I72&gt;3000,"CCT too high,",""))</f>
        <v/>
      </c>
      <c r="I26" s="69" t="str">
        <f>IF('Res Compliance Calculator'!I72="","",IF('Res Compliance Calculator'!I72&lt;2700,"CCT too low,",""))</f>
        <v/>
      </c>
      <c r="J26" s="70"/>
      <c r="K26" s="56"/>
      <c r="L26" s="69" t="str">
        <f>IF('Res Compliance Calculator'!$L72&lt;='Res Compliance Calculator'!$K72,"","Exceeds allowed mounting height,")</f>
        <v/>
      </c>
      <c r="M26" s="65"/>
      <c r="N26" s="66"/>
      <c r="O26" s="66"/>
      <c r="S26" t="str">
        <f t="shared" ca="1" si="0"/>
        <v>Pass</v>
      </c>
      <c r="T26" t="b">
        <f ca="1">COUNTBLANK('Res Compliance Calculator'!C72:L72)&gt;0</f>
        <v>1</v>
      </c>
      <c r="U26" t="str">
        <f ca="1">IF(Proposed_analysis[[#This Row],[Info?]]=FALSE,Proposed_analysis[[#This Row],[PASS/FAIL]],"More info needed")</f>
        <v>More info needed</v>
      </c>
    </row>
    <row r="27" spans="1:27" x14ac:dyDescent="0.3">
      <c r="A27" s="10">
        <f ca="1">'Res Compliance Calculator'!D73</f>
        <v>0</v>
      </c>
      <c r="B27" s="10">
        <f>'Res Compliance Calculator'!E73</f>
        <v>0</v>
      </c>
      <c r="C27" s="10" t="str">
        <f>'Res Compliance Calculator'!C73</f>
        <v>Proposed percentage unshielded/partially shielded lumens of total lumen allowance</v>
      </c>
      <c r="D27" s="10">
        <f>'Res Compliance Calculator'!J73</f>
        <v>0</v>
      </c>
      <c r="E27" t="str">
        <f ca="1">IF(AND(OR(A27='Res - Ordinance Values'!$B$24,A27='Res - Ordinance Values'!$B$23,A27='Res - Ordinance Values'!$B$26),OR(D27='Res - Ordinance Values'!$B$10,AND(OR(D27='Res - Ordinance Values'!$B$11,D27='Res - Ordinance Values'!$B$17),'Res Compliance Calculator'!$D$28&lt;&gt;"Multi-Family"),D27='Res - Ordinance Values'!$B$12,D27='Res - Ordinance Values'!$B$16,D27='Res - Ordinance Values'!$B$19)),"Unapproved use of unshielded or partially shielded fixtures, ","")</f>
        <v/>
      </c>
      <c r="F27" s="69" t="str" cm="1">
        <f t="array" aca="1" ref="F27" ca="1">_xlfn.IFNA(IF('Res Compliance Calculator'!D73='Res - Ordinance Values'!$B$27,"",(IF('Res Compliance Calculator'!$F73&gt;VLOOKUP('Res Compliance Calculator'!$D73,'Res - Ordinance Values'!$B$23:$F$28,_xlfn.IFS('Res Compliance Calculator'!$D$29="LZ1",3,'Res Compliance Calculator'!$D$29="LZ2",4),FALSE),"Lumens exceed limit,",""))),"")</f>
        <v/>
      </c>
      <c r="G27" s="56"/>
      <c r="H27" s="57" t="str">
        <f>IF('Res Compliance Calculator'!I73="","",IF('Res Compliance Calculator'!I73&gt;3000,"CCT too high,",""))</f>
        <v/>
      </c>
      <c r="I27" s="69" t="str">
        <f>IF('Res Compliance Calculator'!I73="","",IF('Res Compliance Calculator'!I73&lt;2700,"CCT too low,",""))</f>
        <v/>
      </c>
      <c r="J27" s="70"/>
      <c r="K27" s="56"/>
      <c r="L27" s="69" t="str">
        <f>IF('Res Compliance Calculator'!$L73&lt;='Res Compliance Calculator'!$K73,"","Exceeds allowed mounting height,")</f>
        <v/>
      </c>
      <c r="M27" s="65"/>
      <c r="N27" s="66"/>
      <c r="O27" s="66"/>
      <c r="S27" t="str">
        <f t="shared" ca="1" si="0"/>
        <v>Pass</v>
      </c>
      <c r="T27" t="b">
        <f ca="1">COUNTBLANK('Res Compliance Calculator'!C73:L73)&gt;0</f>
        <v>1</v>
      </c>
      <c r="U27" t="str">
        <f ca="1">IF(Proposed_analysis[[#This Row],[Info?]]=FALSE,Proposed_analysis[[#This Row],[PASS/FAIL]],"More info needed")</f>
        <v>More info needed</v>
      </c>
    </row>
    <row r="28" spans="1:27" x14ac:dyDescent="0.3">
      <c r="A28" s="10">
        <f>'Res Compliance Calculator'!D74</f>
        <v>0</v>
      </c>
      <c r="B28" s="10" t="str">
        <f>'Res Compliance Calculator'!E74</f>
        <v>lumens</v>
      </c>
      <c r="C28" s="10" t="str">
        <f>'Res Compliance Calculator'!C74</f>
        <v>Total proposed  lumens</v>
      </c>
      <c r="D28" s="10">
        <f>'Res Compliance Calculator'!J74</f>
        <v>0</v>
      </c>
      <c r="E28" t="str">
        <f>IF(AND(OR(A28='Res - Ordinance Values'!$B$24,A28='Res - Ordinance Values'!$B$23,A28='Res - Ordinance Values'!$B$26),OR(D28='Res - Ordinance Values'!$B$10,AND(OR(D28='Res - Ordinance Values'!$B$11,D28='Res - Ordinance Values'!$B$17),'Res Compliance Calculator'!$D$28&lt;&gt;"Multi-Family"),D28='Res - Ordinance Values'!$B$12,D28='Res - Ordinance Values'!$B$16,D28='Res - Ordinance Values'!$B$19)),"Unapproved use of unshielded or partially shielded fixtures, ","")</f>
        <v/>
      </c>
      <c r="F28" s="69" t="str" cm="1">
        <f t="array" ref="F28">_xlfn.IFNA(IF('Res Compliance Calculator'!D74='Res - Ordinance Values'!$B$27,"",(IF('Res Compliance Calculator'!$F74&gt;VLOOKUP('Res Compliance Calculator'!$D74,'Res - Ordinance Values'!$B$23:$F$28,_xlfn.IFS('Res Compliance Calculator'!$D$29="LZ1",3,'Res Compliance Calculator'!$D$29="LZ2",4),FALSE),"Lumens exceed limit,",""))),"")</f>
        <v/>
      </c>
      <c r="G28" s="56"/>
      <c r="H28" s="57" t="str">
        <f>IF('Res Compliance Calculator'!I74="","",IF('Res Compliance Calculator'!I74&gt;3000,"CCT too high,",""))</f>
        <v/>
      </c>
      <c r="I28" s="69" t="str">
        <f>IF('Res Compliance Calculator'!I74="","",IF('Res Compliance Calculator'!I74&lt;2700,"CCT too low,",""))</f>
        <v/>
      </c>
      <c r="J28" s="70"/>
      <c r="K28" s="56"/>
      <c r="L28" s="69" t="str">
        <f>IF('Res Compliance Calculator'!$L74&lt;='Res Compliance Calculator'!$K74,"","Exceeds allowed mounting height,")</f>
        <v/>
      </c>
      <c r="M28" s="65"/>
      <c r="N28" s="66"/>
      <c r="O28" s="66"/>
      <c r="S28" t="str">
        <f t="shared" si="0"/>
        <v>Pass</v>
      </c>
      <c r="T28" t="b">
        <f>COUNTBLANK('Res Compliance Calculator'!C74:L74)&gt;0</f>
        <v>1</v>
      </c>
      <c r="U28" t="str">
        <f>IF(Proposed_analysis[[#This Row],[Info?]]=FALSE,Proposed_analysis[[#This Row],[PASS/FAIL]],"More info needed")</f>
        <v>More info needed</v>
      </c>
    </row>
    <row r="29" spans="1:27" x14ac:dyDescent="0.3">
      <c r="A29" s="10">
        <f>'Res Compliance Calculator'!D75</f>
        <v>0</v>
      </c>
      <c r="B29" s="10">
        <f>'Res Compliance Calculator'!E75</f>
        <v>0</v>
      </c>
      <c r="C29" s="10">
        <f>'Res Compliance Calculator'!C75</f>
        <v>0</v>
      </c>
      <c r="D29" s="10">
        <f>'Res Compliance Calculator'!J75</f>
        <v>0</v>
      </c>
      <c r="E29" t="str">
        <f>IF(AND(OR(A29='Res - Ordinance Values'!$B$24,A29='Res - Ordinance Values'!$B$23,A29='Res - Ordinance Values'!$B$26),OR(D29='Res - Ordinance Values'!$B$10,AND(OR(D29='Res - Ordinance Values'!$B$11,D29='Res - Ordinance Values'!$B$17),'Res Compliance Calculator'!$D$28&lt;&gt;"Multi-Family"),D29='Res - Ordinance Values'!$B$12,D29='Res - Ordinance Values'!$B$16,D29='Res - Ordinance Values'!$B$19)),"Unapproved use of unshielded or partially shielded fixtures, ","")</f>
        <v/>
      </c>
      <c r="F29" s="69" t="str" cm="1">
        <f t="array" ref="F29">_xlfn.IFNA(IF('Res Compliance Calculator'!D75='Res - Ordinance Values'!$B$27,"",(IF('Res Compliance Calculator'!$F75&gt;VLOOKUP('Res Compliance Calculator'!$D75,'Res - Ordinance Values'!$B$23:$F$28,_xlfn.IFS('Res Compliance Calculator'!$D$29="LZ1",3,'Res Compliance Calculator'!$D$29="LZ2",4),FALSE),"Lumens exceed limit,",""))),"")</f>
        <v/>
      </c>
      <c r="G29" s="56"/>
      <c r="H29" s="57" t="str">
        <f>IF('Res Compliance Calculator'!I75="","",IF('Res Compliance Calculator'!I75&gt;3000,"CCT too high,",""))</f>
        <v/>
      </c>
      <c r="I29" s="69" t="str">
        <f>IF('Res Compliance Calculator'!I75="","",IF('Res Compliance Calculator'!I75&lt;2700,"CCT too low,",""))</f>
        <v/>
      </c>
      <c r="J29" s="70"/>
      <c r="K29" s="56"/>
      <c r="L29" s="69" t="str">
        <f>IF('Res Compliance Calculator'!$L75&lt;='Res Compliance Calculator'!$K75,"","Exceeds allowed mounting height,")</f>
        <v/>
      </c>
      <c r="M29" s="65"/>
      <c r="N29" s="66"/>
      <c r="O29" s="66"/>
      <c r="S29" t="str">
        <f t="shared" si="0"/>
        <v>Pass</v>
      </c>
      <c r="T29" t="b">
        <f>COUNTBLANK('Res Compliance Calculator'!C75:L75)&gt;0</f>
        <v>1</v>
      </c>
      <c r="U29" t="str">
        <f>IF(Proposed_analysis[[#This Row],[Info?]]=FALSE,Proposed_analysis[[#This Row],[PASS/FAIL]],"More info needed")</f>
        <v>More info needed</v>
      </c>
    </row>
    <row r="30" spans="1:27" x14ac:dyDescent="0.3">
      <c r="A30" s="10" t="str">
        <f>'Res Compliance Calculator'!D76</f>
        <v>Yes</v>
      </c>
      <c r="B30" s="10" t="str">
        <f>'Res Compliance Calculator'!E76</f>
        <v>Whole parcel compliance required - do not fill out existing parcel analysis</v>
      </c>
      <c r="C30" s="10" t="str">
        <f>'Res Compliance Calculator'!C76</f>
        <v>Scope triggers entire property into compliance?</v>
      </c>
      <c r="D30" s="10">
        <f>'Res Compliance Calculator'!J76</f>
        <v>0</v>
      </c>
      <c r="E30" t="str">
        <f>IF(AND(OR(A30='Res - Ordinance Values'!$B$24,A30='Res - Ordinance Values'!$B$23,A30='Res - Ordinance Values'!$B$26),OR(D30='Res - Ordinance Values'!$B$10,AND(OR(D30='Res - Ordinance Values'!$B$11,D30='Res - Ordinance Values'!$B$17),'Res Compliance Calculator'!$D$28&lt;&gt;"Multi-Family"),D30='Res - Ordinance Values'!$B$12,D30='Res - Ordinance Values'!$B$16,D30='Res - Ordinance Values'!$B$19)),"Unapproved use of unshielded or partially shielded fixtures, ","")</f>
        <v/>
      </c>
      <c r="F30" s="69" t="str" cm="1">
        <f t="array" ref="F30">_xlfn.IFNA(IF('Res Compliance Calculator'!D76='Res - Ordinance Values'!$B$27,"",(IF('Res Compliance Calculator'!$F76&gt;VLOOKUP('Res Compliance Calculator'!$D76,'Res - Ordinance Values'!$B$23:$F$28,_xlfn.IFS('Res Compliance Calculator'!$D$29="LZ1",3,'Res Compliance Calculator'!$D$29="LZ2",4),FALSE),"Lumens exceed limit,",""))),"")</f>
        <v/>
      </c>
      <c r="G30" s="56"/>
      <c r="H30" s="57" t="str">
        <f>IF('Res Compliance Calculator'!I76="","",IF('Res Compliance Calculator'!I76&gt;3000,"CCT too high,",""))</f>
        <v/>
      </c>
      <c r="I30" s="69" t="str">
        <f>IF('Res Compliance Calculator'!I76="","",IF('Res Compliance Calculator'!I76&lt;2700,"CCT too low,",""))</f>
        <v/>
      </c>
      <c r="J30" s="70"/>
      <c r="K30" s="56"/>
      <c r="L30" s="69" t="str">
        <f>IF('Res Compliance Calculator'!$L76&lt;='Res Compliance Calculator'!$K76,"","Exceeds allowed mounting height,")</f>
        <v/>
      </c>
      <c r="M30" s="65"/>
      <c r="N30" s="66"/>
      <c r="O30" s="66"/>
      <c r="S30" t="str">
        <f t="shared" si="0"/>
        <v>Pass</v>
      </c>
      <c r="T30" t="b">
        <f>COUNTBLANK('Res Compliance Calculator'!C76:L76)&gt;0</f>
        <v>1</v>
      </c>
      <c r="U30" t="str">
        <f>IF(Proposed_analysis[[#This Row],[Info?]]=FALSE,Proposed_analysis[[#This Row],[PASS/FAIL]],"More info needed")</f>
        <v>More info needed</v>
      </c>
    </row>
    <row r="31" spans="1:27" x14ac:dyDescent="0.3">
      <c r="A31" s="10">
        <f>'Res Compliance Calculator'!D77</f>
        <v>0</v>
      </c>
      <c r="B31" s="10">
        <f>'Res Compliance Calculator'!E77</f>
        <v>0</v>
      </c>
      <c r="C31" s="10">
        <f>'Res Compliance Calculator'!C77</f>
        <v>0</v>
      </c>
      <c r="D31" s="10">
        <f>'Res Compliance Calculator'!J77</f>
        <v>0</v>
      </c>
      <c r="E31" t="str">
        <f>IF(AND(OR(A31='Res - Ordinance Values'!$B$24,A31='Res - Ordinance Values'!$B$23,A31='Res - Ordinance Values'!$B$26),OR(D31='Res - Ordinance Values'!$B$10,AND(OR(D31='Res - Ordinance Values'!$B$11,D31='Res - Ordinance Values'!$B$17),'Res Compliance Calculator'!$D$28&lt;&gt;"Multi-Family"),D31='Res - Ordinance Values'!$B$12,D31='Res - Ordinance Values'!$B$16,D31='Res - Ordinance Values'!$B$19)),"Unapproved use of unshielded or partially shielded fixtures, ","")</f>
        <v/>
      </c>
      <c r="F31" s="69" t="str" cm="1">
        <f t="array" ref="F31">_xlfn.IFNA(IF('Res Compliance Calculator'!D77='Res - Ordinance Values'!$B$27,"",(IF('Res Compliance Calculator'!$F77&gt;VLOOKUP('Res Compliance Calculator'!$D77,'Res - Ordinance Values'!$B$23:$F$28,_xlfn.IFS('Res Compliance Calculator'!$D$29="LZ1",3,'Res Compliance Calculator'!$D$29="LZ2",4),FALSE),"Lumens exceed limit,",""))),"")</f>
        <v/>
      </c>
      <c r="G31" s="56"/>
      <c r="H31" s="57" t="str">
        <f>IF('Res Compliance Calculator'!I77="","",IF('Res Compliance Calculator'!I77&gt;3000,"CCT too high,",""))</f>
        <v/>
      </c>
      <c r="I31" s="69" t="str">
        <f>IF('Res Compliance Calculator'!I77="","",IF('Res Compliance Calculator'!I77&lt;2700,"CCT too low,",""))</f>
        <v/>
      </c>
      <c r="J31" s="70"/>
      <c r="K31" s="56"/>
      <c r="L31" s="69" t="str">
        <f>IF('Res Compliance Calculator'!$L77&lt;='Res Compliance Calculator'!$K77,"","Exceeds allowed mounting height,")</f>
        <v/>
      </c>
      <c r="M31" s="65"/>
      <c r="N31" s="66"/>
      <c r="O31" s="66"/>
      <c r="S31" t="str">
        <f t="shared" si="0"/>
        <v>Pass</v>
      </c>
      <c r="T31" t="b">
        <f>COUNTBLANK('Res Compliance Calculator'!C77:L77)&gt;0</f>
        <v>1</v>
      </c>
      <c r="U31" t="str">
        <f>IF(Proposed_analysis[[#This Row],[Info?]]=FALSE,Proposed_analysis[[#This Row],[PASS/FAIL]],"More info needed")</f>
        <v>More info needed</v>
      </c>
    </row>
    <row r="32" spans="1:27" x14ac:dyDescent="0.3">
      <c r="A32" s="10">
        <f>'Res Compliance Calculator'!D79</f>
        <v>0</v>
      </c>
      <c r="B32" s="10">
        <f>'Res Compliance Calculator'!E79</f>
        <v>0</v>
      </c>
      <c r="C32" s="10">
        <f>'Res Compliance Calculator'!C79</f>
        <v>0</v>
      </c>
      <c r="D32" s="10">
        <f>'Res Compliance Calculator'!J79</f>
        <v>0</v>
      </c>
      <c r="E32" t="str">
        <f>IF(AND(OR(A32='Res - Ordinance Values'!$B$24,A32='Res - Ordinance Values'!$B$23,A32='Res - Ordinance Values'!$B$26),OR(D32='Res - Ordinance Values'!$B$10,AND(OR(D32='Res - Ordinance Values'!$B$11,D32='Res - Ordinance Values'!$B$17),'Res Compliance Calculator'!$D$28&lt;&gt;"Multi-Family"),D32='Res - Ordinance Values'!$B$12,D32='Res - Ordinance Values'!$B$16,D32='Res - Ordinance Values'!$B$19)),"Unapproved use of unshielded or partially shielded fixtures, ","")</f>
        <v/>
      </c>
      <c r="F32" s="69" t="str" cm="1">
        <f t="array" ref="F32">_xlfn.IFNA(IF('Res Compliance Calculator'!D79='Res - Ordinance Values'!$B$27,"",(IF('Res Compliance Calculator'!$F79&gt;VLOOKUP('Res Compliance Calculator'!$D79,'Res - Ordinance Values'!$B$23:$F$28,_xlfn.IFS('Res Compliance Calculator'!$D$29="LZ1",3,'Res Compliance Calculator'!$D$29="LZ2",4),FALSE),"Lumens exceed limit,",""))),"")</f>
        <v/>
      </c>
      <c r="G32" s="56"/>
      <c r="H32" s="57" t="str">
        <f>IF('Res Compliance Calculator'!I79="","",IF('Res Compliance Calculator'!I79&gt;3000,"CCT too high,",""))</f>
        <v/>
      </c>
      <c r="I32" s="69" t="str">
        <f>IF('Res Compliance Calculator'!I79="","",IF('Res Compliance Calculator'!I79&lt;2700,"CCT too low,",""))</f>
        <v/>
      </c>
      <c r="J32" s="70"/>
      <c r="K32" s="56"/>
      <c r="L32" s="69" t="str">
        <f>IF('Res Compliance Calculator'!$L79&lt;='Res Compliance Calculator'!$K79,"","Exceeds allowed mounting height,")</f>
        <v/>
      </c>
      <c r="M32" s="65"/>
      <c r="N32" s="66"/>
      <c r="O32" s="66"/>
      <c r="S32" t="str">
        <f t="shared" si="0"/>
        <v>Pass</v>
      </c>
      <c r="T32" t="b">
        <f>COUNTBLANK('Res Compliance Calculator'!C79:L79)&gt;0</f>
        <v>1</v>
      </c>
      <c r="U32" t="str">
        <f>IF(Proposed_analysis[[#This Row],[Info?]]=FALSE,Proposed_analysis[[#This Row],[PASS/FAIL]],"More info needed")</f>
        <v>More info needed</v>
      </c>
    </row>
    <row r="33" spans="1:21" x14ac:dyDescent="0.3">
      <c r="A33" s="10">
        <f>'Res Compliance Calculator'!D80</f>
        <v>0</v>
      </c>
      <c r="B33" s="10">
        <f>'Res Compliance Calculator'!E80</f>
        <v>0</v>
      </c>
      <c r="C33" s="10">
        <f>'Res Compliance Calculator'!C80</f>
        <v>0</v>
      </c>
      <c r="D33" s="10">
        <f>'Res Compliance Calculator'!J80</f>
        <v>0</v>
      </c>
      <c r="E33" t="str">
        <f>IF(AND(OR(A33='Res - Ordinance Values'!$B$24,A33='Res - Ordinance Values'!$B$23,A33='Res - Ordinance Values'!$B$26),OR(D33='Res - Ordinance Values'!$B$10,AND(OR(D33='Res - Ordinance Values'!$B$11,D33='Res - Ordinance Values'!$B$17),'Res Compliance Calculator'!$D$28&lt;&gt;"Multi-Family"),D33='Res - Ordinance Values'!$B$12,D33='Res - Ordinance Values'!$B$16,D33='Res - Ordinance Values'!$B$19)),"Unapproved use of unshielded or partially shielded fixtures, ","")</f>
        <v/>
      </c>
      <c r="F33" s="69" t="str" cm="1">
        <f t="array" ref="F33">_xlfn.IFNA(IF('Res Compliance Calculator'!D80='Res - Ordinance Values'!$B$27,"",(IF('Res Compliance Calculator'!$F80&gt;VLOOKUP('Res Compliance Calculator'!$D80,'Res - Ordinance Values'!$B$23:$F$28,_xlfn.IFS('Res Compliance Calculator'!$D$29="LZ1",3,'Res Compliance Calculator'!$D$29="LZ2",4),FALSE),"Lumens exceed limit,",""))),"")</f>
        <v/>
      </c>
      <c r="G33" s="56"/>
      <c r="H33" s="57" t="str">
        <f>IF('Res Compliance Calculator'!I80="","",IF('Res Compliance Calculator'!I80&gt;3000,"CCT too high,",""))</f>
        <v/>
      </c>
      <c r="I33" s="69" t="str">
        <f>IF('Res Compliance Calculator'!I80="","",IF('Res Compliance Calculator'!I80&lt;2700,"CCT too low,",""))</f>
        <v/>
      </c>
      <c r="J33" s="70"/>
      <c r="K33" s="56"/>
      <c r="L33" s="69" t="str">
        <f>IF('Res Compliance Calculator'!$L80&lt;='Res Compliance Calculator'!$K80,"","Exceeds allowed mounting height,")</f>
        <v/>
      </c>
      <c r="M33" s="65"/>
      <c r="N33" s="66"/>
      <c r="O33" s="66"/>
      <c r="S33" t="str">
        <f t="shared" si="0"/>
        <v>Pass</v>
      </c>
      <c r="T33" t="b">
        <f>COUNTBLANK('Res Compliance Calculator'!C80:L80)&gt;0</f>
        <v>1</v>
      </c>
      <c r="U33" t="str">
        <f>IF(Proposed_analysis[[#This Row],[Info?]]=FALSE,Proposed_analysis[[#This Row],[PASS/FAIL]],"More info needed")</f>
        <v>More info needed</v>
      </c>
    </row>
    <row r="34" spans="1:21" x14ac:dyDescent="0.3">
      <c r="A34" s="10">
        <f>'Res Compliance Calculator'!D81</f>
        <v>0</v>
      </c>
      <c r="B34" s="10">
        <f>'Res Compliance Calculator'!E81</f>
        <v>0</v>
      </c>
      <c r="C34" s="10" t="str">
        <f>'Res Compliance Calculator'!C81</f>
        <v>Please fill out the following table with the current lighting information for the parcel to evaluate whether the proposed lighting plan decreases non-conforming aspects of the current lighting in the 3 categories listed in Table 3b: Existing Parcel Analysis.</v>
      </c>
      <c r="D34" s="10">
        <f>'Res Compliance Calculator'!J81</f>
        <v>0</v>
      </c>
      <c r="E34" t="str">
        <f>IF(AND(OR(A34='Res - Ordinance Values'!$B$24,A34='Res - Ordinance Values'!$B$23,A34='Res - Ordinance Values'!$B$26),OR(D34='Res - Ordinance Values'!$B$10,AND(OR(D34='Res - Ordinance Values'!$B$11,D34='Res - Ordinance Values'!$B$17),'Res Compliance Calculator'!$D$28&lt;&gt;"Multi-Family"),D34='Res - Ordinance Values'!$B$12,D34='Res - Ordinance Values'!$B$16,D34='Res - Ordinance Values'!$B$19)),"Unapproved use of unshielded or partially shielded fixtures, ","")</f>
        <v/>
      </c>
      <c r="F34" s="69" t="str" cm="1">
        <f t="array" ref="F34">_xlfn.IFNA(IF('Res Compliance Calculator'!D81='Res - Ordinance Values'!$B$27,"",(IF('Res Compliance Calculator'!$F81&gt;VLOOKUP('Res Compliance Calculator'!$D81,'Res - Ordinance Values'!$B$23:$F$28,_xlfn.IFS('Res Compliance Calculator'!$D$29="LZ1",3,'Res Compliance Calculator'!$D$29="LZ2",4),FALSE),"Lumens exceed limit,",""))),"")</f>
        <v/>
      </c>
      <c r="G34" s="56"/>
      <c r="H34" s="57" t="str">
        <f>IF('Res Compliance Calculator'!I81="","",IF('Res Compliance Calculator'!I81&gt;3000,"CCT too high,",""))</f>
        <v/>
      </c>
      <c r="I34" s="69" t="str">
        <f>IF('Res Compliance Calculator'!I81="","",IF('Res Compliance Calculator'!I81&lt;2700,"CCT too low,",""))</f>
        <v/>
      </c>
      <c r="J34" s="70"/>
      <c r="K34" s="56"/>
      <c r="L34" s="69" t="str">
        <f>IF('Res Compliance Calculator'!$L81&lt;='Res Compliance Calculator'!$K81,"","Exceeds allowed mounting height,")</f>
        <v/>
      </c>
      <c r="M34" s="65"/>
      <c r="N34" s="66"/>
      <c r="O34" s="66"/>
      <c r="S34" t="str">
        <f t="shared" si="0"/>
        <v>Pass</v>
      </c>
      <c r="T34" t="b">
        <f>COUNTBLANK('Res Compliance Calculator'!C81:L81)&gt;0</f>
        <v>1</v>
      </c>
      <c r="U34" t="str">
        <f>IF(Proposed_analysis[[#This Row],[Info?]]=FALSE,Proposed_analysis[[#This Row],[PASS/FAIL]],"More info needed")</f>
        <v>More info needed</v>
      </c>
    </row>
    <row r="35" spans="1:21" x14ac:dyDescent="0.3">
      <c r="A35" s="10">
        <f>'Res Compliance Calculator'!D82</f>
        <v>0</v>
      </c>
      <c r="B35" s="10">
        <f>'Res Compliance Calculator'!E82</f>
        <v>0</v>
      </c>
      <c r="C35" s="10">
        <f>'Res Compliance Calculator'!C82</f>
        <v>0</v>
      </c>
      <c r="D35" s="10">
        <f>'Res Compliance Calculator'!J82</f>
        <v>0</v>
      </c>
      <c r="E35" t="str">
        <f>IF(AND(OR(A35='Res - Ordinance Values'!$B$24,A35='Res - Ordinance Values'!$B$23,A35='Res - Ordinance Values'!$B$26),OR(D35='Res - Ordinance Values'!$B$10,AND(OR(D35='Res - Ordinance Values'!$B$11,D35='Res - Ordinance Values'!$B$17),'Res Compliance Calculator'!$D$28&lt;&gt;"Multi-Family"),D35='Res - Ordinance Values'!$B$12,D35='Res - Ordinance Values'!$B$16,D35='Res - Ordinance Values'!$B$19)),"Unapproved use of unshielded or partially shielded fixtures, ","")</f>
        <v/>
      </c>
      <c r="F35" s="69" t="str" cm="1">
        <f t="array" ref="F35">_xlfn.IFNA(IF('Res Compliance Calculator'!D82='Res - Ordinance Values'!$B$27,"",(IF('Res Compliance Calculator'!$F82&gt;VLOOKUP('Res Compliance Calculator'!$D82,'Res - Ordinance Values'!$B$23:$F$28,_xlfn.IFS('Res Compliance Calculator'!$D$29="LZ1",3,'Res Compliance Calculator'!$D$29="LZ2",4),FALSE),"Lumens exceed limit,",""))),"")</f>
        <v/>
      </c>
      <c r="G35" s="56"/>
      <c r="H35" s="57" t="str">
        <f>IF('Res Compliance Calculator'!I82="","",IF('Res Compliance Calculator'!I82&gt;3000,"CCT too high,",""))</f>
        <v/>
      </c>
      <c r="I35" s="69" t="str">
        <f>IF('Res Compliance Calculator'!I82="","",IF('Res Compliance Calculator'!I82&lt;2700,"CCT too low,",""))</f>
        <v/>
      </c>
      <c r="J35" s="70"/>
      <c r="K35" s="56"/>
      <c r="L35" s="69" t="str">
        <f>IF('Res Compliance Calculator'!$L82&lt;='Res Compliance Calculator'!$K82,"","Exceeds allowed mounting height,")</f>
        <v/>
      </c>
      <c r="M35" s="65"/>
      <c r="N35" s="66"/>
      <c r="O35" s="66"/>
      <c r="S35" t="str">
        <f t="shared" si="0"/>
        <v>Pass</v>
      </c>
      <c r="T35" t="b">
        <f>COUNTBLANK('Res Compliance Calculator'!C82:L82)&gt;0</f>
        <v>1</v>
      </c>
      <c r="U35" t="str">
        <f>IF(Proposed_analysis[[#This Row],[Info?]]=FALSE,Proposed_analysis[[#This Row],[PASS/FAIL]],"More info needed")</f>
        <v>More info needed</v>
      </c>
    </row>
    <row r="36" spans="1:21" x14ac:dyDescent="0.3">
      <c r="A36" s="10">
        <f>'Res Compliance Calculator'!D83</f>
        <v>0</v>
      </c>
      <c r="B36" s="10">
        <f>'Res Compliance Calculator'!E83</f>
        <v>0</v>
      </c>
      <c r="C36" s="10" t="str">
        <f>'Res Compliance Calculator'!C83</f>
        <v xml:space="preserve">If the scope does not trigger the entire property into compliance, only new and replaced fixtures need to comply with the adopted regulations. Non-conformities cannot be increased - the proposed lumens on the site must decrease (or conform), the percentage of unshielded/partially shielded fixtures must decrease (or conform), and any new or replaced fixtures must conform with shielding requirements. If the proposal decreases the non-conformity but does not eliminate it, this table must be filled out. </v>
      </c>
      <c r="D36" s="10">
        <f>'Res Compliance Calculator'!J83</f>
        <v>0</v>
      </c>
      <c r="E36" t="str">
        <f>IF(AND(OR(A36='Res - Ordinance Values'!$B$24,A36='Res - Ordinance Values'!$B$23,A36='Res - Ordinance Values'!$B$26),OR(D36='Res - Ordinance Values'!$B$10,AND(OR(D36='Res - Ordinance Values'!$B$11,D36='Res - Ordinance Values'!$B$17),'Res Compliance Calculator'!$D$28&lt;&gt;"Multi-Family"),D36='Res - Ordinance Values'!$B$12,D36='Res - Ordinance Values'!$B$16,D36='Res - Ordinance Values'!$B$19)),"Unapproved use of unshielded or partially shielded fixtures, ","")</f>
        <v/>
      </c>
      <c r="F36" s="69" t="str" cm="1">
        <f t="array" ref="F36">_xlfn.IFNA(IF('Res Compliance Calculator'!D83='Res - Ordinance Values'!$B$27,"",(IF('Res Compliance Calculator'!$F83&gt;VLOOKUP('Res Compliance Calculator'!$D83,'Res - Ordinance Values'!$B$23:$F$28,_xlfn.IFS('Res Compliance Calculator'!$D$29="LZ1",3,'Res Compliance Calculator'!$D$29="LZ2",4),FALSE),"Lumens exceed limit,",""))),"")</f>
        <v/>
      </c>
      <c r="G36" s="56"/>
      <c r="H36" s="57" t="str">
        <f>IF('Res Compliance Calculator'!I83="","",IF('Res Compliance Calculator'!I83&gt;3000,"CCT too high,",""))</f>
        <v/>
      </c>
      <c r="I36" s="69" t="str">
        <f>IF('Res Compliance Calculator'!I83="","",IF('Res Compliance Calculator'!I83&lt;2700,"CCT too low,",""))</f>
        <v/>
      </c>
      <c r="J36" s="70"/>
      <c r="K36" s="56"/>
      <c r="L36" s="69" t="str">
        <f>IF('Res Compliance Calculator'!$L83&lt;='Res Compliance Calculator'!$K83,"","Exceeds allowed mounting height,")</f>
        <v/>
      </c>
      <c r="M36" s="65"/>
      <c r="N36" s="66"/>
      <c r="O36" s="66"/>
      <c r="S36" t="str">
        <f t="shared" si="0"/>
        <v>Pass</v>
      </c>
      <c r="T36" t="b">
        <f>COUNTBLANK('Res Compliance Calculator'!C83:L83)&gt;0</f>
        <v>1</v>
      </c>
      <c r="U36" t="str">
        <f>IF(Proposed_analysis[[#This Row],[Info?]]=FALSE,Proposed_analysis[[#This Row],[PASS/FAIL]],"More info needed")</f>
        <v>More info needed</v>
      </c>
    </row>
    <row r="37" spans="1:21" x14ac:dyDescent="0.3">
      <c r="A37" s="10">
        <f>'Res Compliance Calculator'!D84</f>
        <v>0</v>
      </c>
      <c r="B37" s="10">
        <f>'Res Compliance Calculator'!E84</f>
        <v>0</v>
      </c>
      <c r="C37" s="10">
        <f>'Res Compliance Calculator'!C84</f>
        <v>0</v>
      </c>
      <c r="D37" s="10">
        <f>'Res Compliance Calculator'!J84</f>
        <v>0</v>
      </c>
      <c r="E37" t="str">
        <f>IF(AND(OR(A37='Res - Ordinance Values'!$B$24,A37='Res - Ordinance Values'!$B$23,A37='Res - Ordinance Values'!$B$26),OR(D37='Res - Ordinance Values'!$B$10,AND(OR(D37='Res - Ordinance Values'!$B$11,D37='Res - Ordinance Values'!$B$17),'Res Compliance Calculator'!$D$28&lt;&gt;"Multi-Family"),D37='Res - Ordinance Values'!$B$12,D37='Res - Ordinance Values'!$B$16,D37='Res - Ordinance Values'!$B$19)),"Unapproved use of unshielded or partially shielded fixtures, ","")</f>
        <v/>
      </c>
      <c r="F37" s="69" t="str" cm="1">
        <f t="array" ref="F37">_xlfn.IFNA(IF('Res Compliance Calculator'!D84='Res - Ordinance Values'!$B$27,"",(IF('Res Compliance Calculator'!$F84&gt;VLOOKUP('Res Compliance Calculator'!$D84,'Res - Ordinance Values'!$B$23:$F$28,_xlfn.IFS('Res Compliance Calculator'!$D$29="LZ1",3,'Res Compliance Calculator'!$D$29="LZ2",4),FALSE),"Lumens exceed limit,",""))),"")</f>
        <v/>
      </c>
      <c r="G37" s="56"/>
      <c r="H37" s="57" t="str">
        <f>IF('Res Compliance Calculator'!I84="","",IF('Res Compliance Calculator'!I84&gt;3000,"CCT too high,",""))</f>
        <v/>
      </c>
      <c r="I37" s="69" t="str">
        <f>IF('Res Compliance Calculator'!I84="","",IF('Res Compliance Calculator'!I84&lt;2700,"CCT too low,",""))</f>
        <v/>
      </c>
      <c r="J37" s="70"/>
      <c r="K37" s="56"/>
      <c r="L37" s="69" t="str">
        <f>IF('Res Compliance Calculator'!$L84&lt;='Res Compliance Calculator'!$K84,"","Exceeds allowed mounting height,")</f>
        <v/>
      </c>
      <c r="M37" s="65"/>
      <c r="N37" s="66"/>
      <c r="O37" s="66"/>
      <c r="S37" t="str">
        <f t="shared" si="0"/>
        <v>Pass</v>
      </c>
      <c r="T37" t="b">
        <f>COUNTBLANK('Res Compliance Calculator'!C84:L84)&gt;0</f>
        <v>1</v>
      </c>
      <c r="U37" t="str">
        <f>IF(Proposed_analysis[[#This Row],[Info?]]=FALSE,Proposed_analysis[[#This Row],[PASS/FAIL]],"More info needed")</f>
        <v>More info needed</v>
      </c>
    </row>
    <row r="38" spans="1:21" x14ac:dyDescent="0.3">
      <c r="A38" s="10">
        <f>'Res Compliance Calculator'!D85</f>
        <v>0</v>
      </c>
      <c r="B38" s="10">
        <f>'Res Compliance Calculator'!E85</f>
        <v>0</v>
      </c>
      <c r="C38" s="10" t="str">
        <f>'Res Compliance Calculator'!C85</f>
        <v>Instructions: fill out yellow fields. Each different fixture type needs its own line. Please utilize drop down menus when applicable. If a fixture does not fit into a "mounting type fixture/application", choose "other".  Reach out to comdevzoning@aspen.gov if more than 10 fixture types are proposed.</v>
      </c>
      <c r="D38" s="10">
        <f>'Res Compliance Calculator'!J85</f>
        <v>0</v>
      </c>
      <c r="E38" t="str">
        <f>IF(AND(OR(A38='Res - Ordinance Values'!$B$24,A38='Res - Ordinance Values'!$B$23,A38='Res - Ordinance Values'!$B$26),OR(D38='Res - Ordinance Values'!$B$10,AND(OR(D38='Res - Ordinance Values'!$B$11,D38='Res - Ordinance Values'!$B$17),'Res Compliance Calculator'!$D$28&lt;&gt;"Multi-Family"),D38='Res - Ordinance Values'!$B$12,D38='Res - Ordinance Values'!$B$16,D38='Res - Ordinance Values'!$B$19)),"Unapproved use of unshielded or partially shielded fixtures, ","")</f>
        <v/>
      </c>
      <c r="F38" s="69" t="str" cm="1">
        <f t="array" ref="F38">_xlfn.IFNA(IF('Res Compliance Calculator'!D85='Res - Ordinance Values'!$B$27,"",(IF('Res Compliance Calculator'!$F85&gt;VLOOKUP('Res Compliance Calculator'!$D85,'Res - Ordinance Values'!$B$23:$F$28,_xlfn.IFS('Res Compliance Calculator'!$D$29="LZ1",3,'Res Compliance Calculator'!$D$29="LZ2",4),FALSE),"Lumens exceed limit,",""))),"")</f>
        <v/>
      </c>
      <c r="G38" s="56"/>
      <c r="H38" s="57" t="str">
        <f>IF('Res Compliance Calculator'!I85="","",IF('Res Compliance Calculator'!I85&gt;3000,"CCT too high,",""))</f>
        <v/>
      </c>
      <c r="I38" s="69" t="str">
        <f>IF('Res Compliance Calculator'!I85="","",IF('Res Compliance Calculator'!I85&lt;2700,"CCT too low,",""))</f>
        <v/>
      </c>
      <c r="J38" s="70"/>
      <c r="K38" s="56"/>
      <c r="L38" s="69" t="str">
        <f>IF('Res Compliance Calculator'!$L85&lt;='Res Compliance Calculator'!$K85,"","Exceeds allowed mounting height,")</f>
        <v/>
      </c>
      <c r="M38" s="65"/>
      <c r="N38" s="66"/>
      <c r="O38" s="66"/>
      <c r="S38" t="str">
        <f t="shared" si="0"/>
        <v>Pass</v>
      </c>
      <c r="T38" t="b">
        <f>COUNTBLANK('Res Compliance Calculator'!C85:L85)&gt;0</f>
        <v>1</v>
      </c>
      <c r="U38" t="str">
        <f>IF(Proposed_analysis[[#This Row],[Info?]]=FALSE,Proposed_analysis[[#This Row],[PASS/FAIL]],"More info needed")</f>
        <v>More info needed</v>
      </c>
    </row>
    <row r="39" spans="1:21" x14ac:dyDescent="0.3">
      <c r="A39" s="10">
        <f>'Res Compliance Calculator'!D86</f>
        <v>0</v>
      </c>
      <c r="B39" s="10">
        <f>'Res Compliance Calculator'!E86</f>
        <v>0</v>
      </c>
      <c r="C39" s="10">
        <f>'Res Compliance Calculator'!C86</f>
        <v>0</v>
      </c>
      <c r="D39" s="10">
        <f>'Res Compliance Calculator'!J86</f>
        <v>0</v>
      </c>
      <c r="E39" t="str">
        <f>IF(AND(OR(A39='Res - Ordinance Values'!$B$24,A39='Res - Ordinance Values'!$B$23,A39='Res - Ordinance Values'!$B$26),OR(D39='Res - Ordinance Values'!$B$10,AND(OR(D39='Res - Ordinance Values'!$B$11,D39='Res - Ordinance Values'!$B$17),'Res Compliance Calculator'!$D$28&lt;&gt;"Multi-Family"),D39='Res - Ordinance Values'!$B$12,D39='Res - Ordinance Values'!$B$16,D39='Res - Ordinance Values'!$B$19)),"Unapproved use of unshielded or partially shielded fixtures, ","")</f>
        <v/>
      </c>
      <c r="F39" s="69" t="str" cm="1">
        <f t="array" ref="F39">_xlfn.IFNA(IF('Res Compliance Calculator'!D86='Res - Ordinance Values'!$B$27,"",(IF('Res Compliance Calculator'!$F86&gt;VLOOKUP('Res Compliance Calculator'!$D86,'Res - Ordinance Values'!$B$23:$F$28,_xlfn.IFS('Res Compliance Calculator'!$D$29="LZ1",3,'Res Compliance Calculator'!$D$29="LZ2",4),FALSE),"Lumens exceed limit,",""))),"")</f>
        <v/>
      </c>
      <c r="G39" s="56"/>
      <c r="H39" s="57" t="str">
        <f>IF('Res Compliance Calculator'!I86="","",IF('Res Compliance Calculator'!I86&gt;3000,"CCT too high,",""))</f>
        <v/>
      </c>
      <c r="I39" s="69" t="str">
        <f>IF('Res Compliance Calculator'!I86="","",IF('Res Compliance Calculator'!I86&lt;2700,"CCT too low,",""))</f>
        <v/>
      </c>
      <c r="J39" s="70"/>
      <c r="K39" s="56"/>
      <c r="L39" s="69" t="str">
        <f>IF('Res Compliance Calculator'!$L86&lt;='Res Compliance Calculator'!$K86,"","Exceeds allowed mounting height,")</f>
        <v/>
      </c>
      <c r="M39" s="65"/>
      <c r="N39" s="66"/>
      <c r="O39" s="66"/>
      <c r="S39" t="str">
        <f t="shared" si="0"/>
        <v>Pass</v>
      </c>
      <c r="T39" t="b">
        <f>COUNTBLANK('Res Compliance Calculator'!C86:L86)&gt;0</f>
        <v>1</v>
      </c>
      <c r="U39" t="str">
        <f>IF(Proposed_analysis[[#This Row],[Info?]]=FALSE,Proposed_analysis[[#This Row],[PASS/FAIL]],"More info needed")</f>
        <v>More info needed</v>
      </c>
    </row>
    <row r="40" spans="1:21" x14ac:dyDescent="0.3">
      <c r="A40" s="10" t="str">
        <f>'Res Compliance Calculator'!D87</f>
        <v>Fixture Type</v>
      </c>
      <c r="B40" s="10" t="str">
        <f>'Res Compliance Calculator'!E87</f>
        <v>Existing to Remain / To Be Removed</v>
      </c>
      <c r="C40" s="10" t="str">
        <f>'Res Compliance Calculator'!C87</f>
        <v>Fixture Label (as shown on lighting plan)</v>
      </c>
      <c r="D40" s="10" t="str">
        <f>'Res Compliance Calculator'!J87</f>
        <v>Mounting Type Fixture/Application</v>
      </c>
      <c r="E40" t="str">
        <f>IF(AND(OR(A40='Res - Ordinance Values'!$B$24,A40='Res - Ordinance Values'!$B$23,A40='Res - Ordinance Values'!$B$26),OR(D40='Res - Ordinance Values'!$B$10,AND(OR(D40='Res - Ordinance Values'!$B$11,D40='Res - Ordinance Values'!$B$17),'Res Compliance Calculator'!$D$28&lt;&gt;"Multi-Family"),D40='Res - Ordinance Values'!$B$12,D40='Res - Ordinance Values'!$B$16,D40='Res - Ordinance Values'!$B$19)),"Unapproved use of unshielded or partially shielded fixtures, ","")</f>
        <v/>
      </c>
      <c r="F40" s="69" t="str" cm="1">
        <f t="array" ref="F40">_xlfn.IFNA(IF('Res Compliance Calculator'!D87='Res - Ordinance Values'!$B$27,"",(IF('Res Compliance Calculator'!$F87&gt;VLOOKUP('Res Compliance Calculator'!$D87,'Res - Ordinance Values'!$B$23:$F$28,_xlfn.IFS('Res Compliance Calculator'!$D$29="LZ1",3,'Res Compliance Calculator'!$D$29="LZ2",4),FALSE),"Lumens exceed limit,",""))),"")</f>
        <v/>
      </c>
      <c r="G40" s="56"/>
      <c r="H40" s="57" t="str">
        <f>IF('Res Compliance Calculator'!I87="","",IF('Res Compliance Calculator'!I87&gt;3000,"CCT too high,",""))</f>
        <v>CCT too high,</v>
      </c>
      <c r="I40" s="69" t="str">
        <f>IF('Res Compliance Calculator'!I87="","",IF('Res Compliance Calculator'!I87&lt;2700,"CCT too low,",""))</f>
        <v/>
      </c>
      <c r="J40" s="70"/>
      <c r="K40" s="56"/>
      <c r="L40" s="69" t="str">
        <f>IF('Res Compliance Calculator'!$L87&lt;='Res Compliance Calculator'!$K87,"","Exceeds allowed mounting height,")</f>
        <v>Exceeds allowed mounting height,</v>
      </c>
      <c r="M40" s="65"/>
      <c r="N40" s="66"/>
      <c r="O40" s="66"/>
      <c r="S40" t="str">
        <f t="shared" si="0"/>
        <v>Fail</v>
      </c>
      <c r="T40" t="b">
        <f>COUNTBLANK('Res Compliance Calculator'!C87:L87)&gt;0</f>
        <v>0</v>
      </c>
      <c r="U40" t="str">
        <f>IF(Proposed_analysis[[#This Row],[Info?]]=FALSE,Proposed_analysis[[#This Row],[PASS/FAIL]],"More info needed")</f>
        <v>Fail</v>
      </c>
    </row>
    <row r="41" spans="1:21" x14ac:dyDescent="0.3">
      <c r="A41" s="10" t="str">
        <f>'Res Compliance Calculator'!D88</f>
        <v>Please choose from dropdown</v>
      </c>
      <c r="B41" s="10" t="str">
        <f>'Res Compliance Calculator'!E88</f>
        <v>Choose from dropdown</v>
      </c>
      <c r="C41" s="10">
        <f>'Res Compliance Calculator'!C88</f>
        <v>0</v>
      </c>
      <c r="D41" s="10" t="str">
        <f>'Res Compliance Calculator'!J88</f>
        <v>Choose from dropdown</v>
      </c>
      <c r="E41" t="str">
        <f>IF(AND(OR(A41='Res - Ordinance Values'!$B$24,A41='Res - Ordinance Values'!$B$23,A41='Res - Ordinance Values'!$B$26),OR(D41='Res - Ordinance Values'!$B$10,AND(OR(D41='Res - Ordinance Values'!$B$11,D41='Res - Ordinance Values'!$B$17),'Res Compliance Calculator'!$D$28&lt;&gt;"Multi-Family"),D41='Res - Ordinance Values'!$B$12,D41='Res - Ordinance Values'!$B$16,D41='Res - Ordinance Values'!$B$19)),"Unapproved use of unshielded or partially shielded fixtures, ","")</f>
        <v/>
      </c>
      <c r="F41" s="69" t="str" cm="1">
        <f t="array" ref="F41">_xlfn.IFNA(IF('Res Compliance Calculator'!D88='Res - Ordinance Values'!$B$27,"",(IF('Res Compliance Calculator'!$F88&gt;VLOOKUP('Res Compliance Calculator'!$D88,'Res - Ordinance Values'!$B$23:$F$28,_xlfn.IFS('Res Compliance Calculator'!$D$29="LZ1",3,'Res Compliance Calculator'!$D$29="LZ2",4),FALSE),"Lumens exceed limit,",""))),"")</f>
        <v/>
      </c>
      <c r="G41" s="56"/>
      <c r="H41" s="57" t="str">
        <f>IF('Res Compliance Calculator'!I88="","",IF('Res Compliance Calculator'!I88&gt;3000,"CCT too high,",""))</f>
        <v/>
      </c>
      <c r="I41" s="69" t="str">
        <f>IF('Res Compliance Calculator'!I88="","",IF('Res Compliance Calculator'!I88&lt;2700,"CCT too low,",""))</f>
        <v/>
      </c>
      <c r="J41" s="70"/>
      <c r="K41" s="56"/>
      <c r="L41" s="69" t="str">
        <f>IF('Res Compliance Calculator'!$L88&lt;='Res Compliance Calculator'!$K88,"","Exceeds allowed mounting height,")</f>
        <v/>
      </c>
      <c r="M41" s="65"/>
      <c r="N41" s="66"/>
      <c r="O41" s="66"/>
      <c r="S41" t="str">
        <f t="shared" si="0"/>
        <v>Pass</v>
      </c>
      <c r="T41" t="b">
        <f>COUNTBLANK('Res Compliance Calculator'!C88:L88)&gt;0</f>
        <v>1</v>
      </c>
      <c r="U41" t="str">
        <f>IF(Proposed_analysis[[#This Row],[Info?]]=FALSE,Proposed_analysis[[#This Row],[PASS/FAIL]],"More info needed")</f>
        <v>More info needed</v>
      </c>
    </row>
    <row r="42" spans="1:21" x14ac:dyDescent="0.3">
      <c r="A42" s="10">
        <f>'Res Compliance Calculator'!D89</f>
        <v>0</v>
      </c>
      <c r="B42" s="10">
        <f>'Res Compliance Calculator'!E89</f>
        <v>0</v>
      </c>
      <c r="C42" s="10">
        <f>'Res Compliance Calculator'!C89</f>
        <v>0</v>
      </c>
      <c r="D42" s="10">
        <f>'Res Compliance Calculator'!J89</f>
        <v>0</v>
      </c>
      <c r="E42" t="str">
        <f>IF(AND(OR(A42='Res - Ordinance Values'!$B$24,A42='Res - Ordinance Values'!$B$23,A42='Res - Ordinance Values'!$B$26),OR(D42='Res - Ordinance Values'!$B$10,AND(OR(D42='Res - Ordinance Values'!$B$11,D42='Res - Ordinance Values'!$B$17),'Res Compliance Calculator'!$D$28&lt;&gt;"Multi-Family"),D42='Res - Ordinance Values'!$B$12,D42='Res - Ordinance Values'!$B$16,D42='Res - Ordinance Values'!$B$19)),"Unapproved use of unshielded or partially shielded fixtures, ","")</f>
        <v/>
      </c>
      <c r="F42" s="69" t="str" cm="1">
        <f t="array" ref="F42">_xlfn.IFNA(IF('Res Compliance Calculator'!D89='Res - Ordinance Values'!$B$27,"",(IF('Res Compliance Calculator'!$F89&gt;VLOOKUP('Res Compliance Calculator'!$D89,'Res - Ordinance Values'!$B$23:$F$28,_xlfn.IFS('Res Compliance Calculator'!$D$29="LZ1",3,'Res Compliance Calculator'!$D$29="LZ2",4),FALSE),"Lumens exceed limit,",""))),"")</f>
        <v/>
      </c>
      <c r="G42" s="56"/>
      <c r="H42" s="57" t="str">
        <f>IF('Res Compliance Calculator'!I89="","",IF('Res Compliance Calculator'!I89&gt;3000,"CCT too high,",""))</f>
        <v/>
      </c>
      <c r="I42" s="69" t="str">
        <f>IF('Res Compliance Calculator'!I89="","",IF('Res Compliance Calculator'!I89&lt;2700,"CCT too low,",""))</f>
        <v/>
      </c>
      <c r="J42" s="70"/>
      <c r="K42" s="56"/>
      <c r="L42" s="69" t="str">
        <f>IF('Res Compliance Calculator'!$L89&lt;='Res Compliance Calculator'!$K89,"","Exceeds allowed mounting height,")</f>
        <v/>
      </c>
      <c r="M42" s="65"/>
      <c r="N42" s="66"/>
      <c r="O42" s="66"/>
      <c r="S42" t="str">
        <f t="shared" si="0"/>
        <v>Pass</v>
      </c>
      <c r="T42" t="b">
        <f>COUNTBLANK('Res Compliance Calculator'!C89:L89)&gt;0</f>
        <v>1</v>
      </c>
      <c r="U42" t="str">
        <f>IF(Proposed_analysis[[#This Row],[Info?]]=FALSE,Proposed_analysis[[#This Row],[PASS/FAIL]],"More info needed")</f>
        <v>More info needed</v>
      </c>
    </row>
    <row r="43" spans="1:21" x14ac:dyDescent="0.3">
      <c r="A43" s="10">
        <f>'Res Compliance Calculator'!D90</f>
        <v>0</v>
      </c>
      <c r="B43" s="10">
        <f>'Res Compliance Calculator'!E90</f>
        <v>0</v>
      </c>
      <c r="C43" s="10">
        <f>'Res Compliance Calculator'!C90</f>
        <v>0</v>
      </c>
      <c r="D43" s="10">
        <f>'Res Compliance Calculator'!J90</f>
        <v>0</v>
      </c>
      <c r="E43" t="str">
        <f>IF(AND(OR(A43='Res - Ordinance Values'!$B$24,A43='Res - Ordinance Values'!$B$23,A43='Res - Ordinance Values'!$B$26),OR(D43='Res - Ordinance Values'!$B$10,AND(OR(D43='Res - Ordinance Values'!$B$11,D43='Res - Ordinance Values'!$B$17),'Res Compliance Calculator'!$D$28&lt;&gt;"Multi-Family"),D43='Res - Ordinance Values'!$B$12,D43='Res - Ordinance Values'!$B$16,D43='Res - Ordinance Values'!$B$19)),"Unapproved use of unshielded or partially shielded fixtures, ","")</f>
        <v/>
      </c>
      <c r="F43" s="69" t="str" cm="1">
        <f t="array" ref="F43">_xlfn.IFNA(IF('Res Compliance Calculator'!D90='Res - Ordinance Values'!$B$27,"",(IF('Res Compliance Calculator'!$F90&gt;VLOOKUP('Res Compliance Calculator'!$D90,'Res - Ordinance Values'!$B$23:$F$28,_xlfn.IFS('Res Compliance Calculator'!$D$29="LZ1",3,'Res Compliance Calculator'!$D$29="LZ2",4),FALSE),"Lumens exceed limit,",""))),"")</f>
        <v/>
      </c>
      <c r="G43" s="56"/>
      <c r="H43" s="57" t="str">
        <f>IF('Res Compliance Calculator'!I90="","",IF('Res Compliance Calculator'!I90&gt;3000,"CCT too high,",""))</f>
        <v/>
      </c>
      <c r="I43" s="69" t="str">
        <f>IF('Res Compliance Calculator'!I90="","",IF('Res Compliance Calculator'!I90&lt;2700,"CCT too low,",""))</f>
        <v/>
      </c>
      <c r="J43" s="70"/>
      <c r="K43" s="56"/>
      <c r="L43" s="69" t="str">
        <f>IF('Res Compliance Calculator'!$L90&lt;='Res Compliance Calculator'!$K90,"","Exceeds allowed mounting height,")</f>
        <v/>
      </c>
      <c r="M43" s="65"/>
      <c r="N43" s="66"/>
      <c r="O43" s="66"/>
      <c r="S43" t="str">
        <f t="shared" si="0"/>
        <v>Pass</v>
      </c>
      <c r="T43" t="b">
        <f>COUNTBLANK('Res Compliance Calculator'!C90:L90)&gt;0</f>
        <v>1</v>
      </c>
      <c r="U43" t="str">
        <f>IF(Proposed_analysis[[#This Row],[Info?]]=FALSE,Proposed_analysis[[#This Row],[PASS/FAIL]],"More info needed")</f>
        <v>More info needed</v>
      </c>
    </row>
    <row r="44" spans="1:21" x14ac:dyDescent="0.3">
      <c r="A44" s="10">
        <f>'Res Compliance Calculator'!D91</f>
        <v>0</v>
      </c>
      <c r="B44" s="10">
        <f>'Res Compliance Calculator'!E91</f>
        <v>0</v>
      </c>
      <c r="C44" s="10">
        <f>'Res Compliance Calculator'!C91</f>
        <v>0</v>
      </c>
      <c r="D44" s="10">
        <f>'Res Compliance Calculator'!J91</f>
        <v>0</v>
      </c>
      <c r="E44" t="str">
        <f>IF(AND(OR(A44='Res - Ordinance Values'!$B$24,A44='Res - Ordinance Values'!$B$23,A44='Res - Ordinance Values'!$B$26),OR(D44='Res - Ordinance Values'!$B$10,AND(OR(D44='Res - Ordinance Values'!$B$11,D44='Res - Ordinance Values'!$B$17),'Res Compliance Calculator'!$D$28&lt;&gt;"Multi-Family"),D44='Res - Ordinance Values'!$B$12,D44='Res - Ordinance Values'!$B$16,D44='Res - Ordinance Values'!$B$19)),"Unapproved use of unshielded or partially shielded fixtures, ","")</f>
        <v/>
      </c>
      <c r="F44" s="69" t="str" cm="1">
        <f t="array" ref="F44">_xlfn.IFNA(IF('Res Compliance Calculator'!D91='Res - Ordinance Values'!$B$27,"",(IF('Res Compliance Calculator'!$F91&gt;VLOOKUP('Res Compliance Calculator'!$D91,'Res - Ordinance Values'!$B$23:$F$28,_xlfn.IFS('Res Compliance Calculator'!$D$29="LZ1",3,'Res Compliance Calculator'!$D$29="LZ2",4),FALSE),"Lumens exceed limit,",""))),"")</f>
        <v/>
      </c>
      <c r="G44" s="56"/>
      <c r="H44" s="57" t="str">
        <f>IF('Res Compliance Calculator'!I91="","",IF('Res Compliance Calculator'!I91&gt;3000,"CCT too high,",""))</f>
        <v/>
      </c>
      <c r="I44" s="69" t="str">
        <f>IF('Res Compliance Calculator'!I91="","",IF('Res Compliance Calculator'!I91&lt;2700,"CCT too low,",""))</f>
        <v/>
      </c>
      <c r="J44" s="70"/>
      <c r="K44" s="56"/>
      <c r="L44" s="69" t="str">
        <f>IF('Res Compliance Calculator'!$L91&lt;='Res Compliance Calculator'!$K91,"","Exceeds allowed mounting height,")</f>
        <v/>
      </c>
      <c r="M44" s="65"/>
      <c r="N44" s="66"/>
      <c r="O44" s="66"/>
      <c r="S44" t="str">
        <f t="shared" si="0"/>
        <v>Pass</v>
      </c>
      <c r="T44" t="b">
        <f>COUNTBLANK('Res Compliance Calculator'!C91:L91)&gt;0</f>
        <v>1</v>
      </c>
      <c r="U44" t="str">
        <f>IF(Proposed_analysis[[#This Row],[Info?]]=FALSE,Proposed_analysis[[#This Row],[PASS/FAIL]],"More info needed")</f>
        <v>More info needed</v>
      </c>
    </row>
    <row r="45" spans="1:21" x14ac:dyDescent="0.3">
      <c r="A45" s="10">
        <f>'Res Compliance Calculator'!D92</f>
        <v>0</v>
      </c>
      <c r="B45" s="10">
        <f>'Res Compliance Calculator'!E92</f>
        <v>0</v>
      </c>
      <c r="C45" s="10">
        <f>'Res Compliance Calculator'!C92</f>
        <v>0</v>
      </c>
      <c r="D45" s="10">
        <f>'Res Compliance Calculator'!J92</f>
        <v>0</v>
      </c>
      <c r="E45" t="str">
        <f>IF(AND(OR(A45='Res - Ordinance Values'!$B$24,A45='Res - Ordinance Values'!$B$23,A45='Res - Ordinance Values'!$B$26),OR(D45='Res - Ordinance Values'!$B$10,AND(OR(D45='Res - Ordinance Values'!$B$11,D45='Res - Ordinance Values'!$B$17),'Res Compliance Calculator'!$D$28&lt;&gt;"Multi-Family"),D45='Res - Ordinance Values'!$B$12,D45='Res - Ordinance Values'!$B$16,D45='Res - Ordinance Values'!$B$19)),"Unapproved use of unshielded or partially shielded fixtures, ","")</f>
        <v/>
      </c>
      <c r="F45" s="69" t="str" cm="1">
        <f t="array" ref="F45">_xlfn.IFNA(IF('Res Compliance Calculator'!D92='Res - Ordinance Values'!$B$27,"",(IF('Res Compliance Calculator'!$F92&gt;VLOOKUP('Res Compliance Calculator'!$D92,'Res - Ordinance Values'!$B$23:$F$28,_xlfn.IFS('Res Compliance Calculator'!$D$29="LZ1",3,'Res Compliance Calculator'!$D$29="LZ2",4),FALSE),"Lumens exceed limit,",""))),"")</f>
        <v/>
      </c>
      <c r="G45" s="56"/>
      <c r="H45" s="57" t="str">
        <f>IF('Res Compliance Calculator'!I92="","",IF('Res Compliance Calculator'!I92&gt;3000,"CCT too high,",""))</f>
        <v/>
      </c>
      <c r="I45" s="69" t="str">
        <f>IF('Res Compliance Calculator'!I92="","",IF('Res Compliance Calculator'!I92&lt;2700,"CCT too low,",""))</f>
        <v/>
      </c>
      <c r="J45" s="70"/>
      <c r="K45" s="56"/>
      <c r="L45" s="69" t="str">
        <f>IF('Res Compliance Calculator'!$L92&lt;='Res Compliance Calculator'!$K92,"","Exceeds allowed mounting height,")</f>
        <v/>
      </c>
      <c r="M45" s="65"/>
      <c r="N45" s="66"/>
      <c r="O45" s="66"/>
      <c r="S45" t="str">
        <f t="shared" si="0"/>
        <v>Pass</v>
      </c>
      <c r="T45" t="b">
        <f>COUNTBLANK('Res Compliance Calculator'!C92:L92)&gt;0</f>
        <v>1</v>
      </c>
      <c r="U45" t="str">
        <f>IF(Proposed_analysis[[#This Row],[Info?]]=FALSE,Proposed_analysis[[#This Row],[PASS/FAIL]],"More info needed")</f>
        <v>More info needed</v>
      </c>
    </row>
    <row r="46" spans="1:21" x14ac:dyDescent="0.3">
      <c r="A46" s="10">
        <f>'Res Compliance Calculator'!D93</f>
        <v>0</v>
      </c>
      <c r="B46" s="10">
        <f>'Res Compliance Calculator'!E93</f>
        <v>0</v>
      </c>
      <c r="C46" s="10">
        <f>'Res Compliance Calculator'!C93</f>
        <v>0</v>
      </c>
      <c r="D46" s="10">
        <f>'Res Compliance Calculator'!J93</f>
        <v>0</v>
      </c>
      <c r="E46" t="str">
        <f>IF(AND(OR(A46='Res - Ordinance Values'!$B$24,A46='Res - Ordinance Values'!$B$23,A46='Res - Ordinance Values'!$B$26),OR(D46='Res - Ordinance Values'!$B$10,AND(OR(D46='Res - Ordinance Values'!$B$11,D46='Res - Ordinance Values'!$B$17),'Res Compliance Calculator'!$D$28&lt;&gt;"Multi-Family"),D46='Res - Ordinance Values'!$B$12,D46='Res - Ordinance Values'!$B$16,D46='Res - Ordinance Values'!$B$19)),"Unapproved use of unshielded or partially shielded fixtures, ","")</f>
        <v/>
      </c>
      <c r="F46" s="69" t="str" cm="1">
        <f t="array" ref="F46">_xlfn.IFNA(IF('Res Compliance Calculator'!D93='Res - Ordinance Values'!$B$27,"",(IF('Res Compliance Calculator'!$F93&gt;VLOOKUP('Res Compliance Calculator'!$D93,'Res - Ordinance Values'!$B$23:$F$28,_xlfn.IFS('Res Compliance Calculator'!$D$29="LZ1",3,'Res Compliance Calculator'!$D$29="LZ2",4),FALSE),"Lumens exceed limit,",""))),"")</f>
        <v/>
      </c>
      <c r="G46" s="56"/>
      <c r="H46" s="57" t="str">
        <f>IF('Res Compliance Calculator'!I93="","",IF('Res Compliance Calculator'!I93&gt;3000,"CCT too high,",""))</f>
        <v/>
      </c>
      <c r="I46" s="69" t="str">
        <f>IF('Res Compliance Calculator'!I93="","",IF('Res Compliance Calculator'!I93&lt;2700,"CCT too low,",""))</f>
        <v/>
      </c>
      <c r="J46" s="70"/>
      <c r="K46" s="56"/>
      <c r="L46" s="69" t="str">
        <f>IF('Res Compliance Calculator'!$L93&lt;='Res Compliance Calculator'!$K93,"","Exceeds allowed mounting height,")</f>
        <v/>
      </c>
      <c r="M46" s="65"/>
      <c r="N46" s="66"/>
      <c r="O46" s="66"/>
      <c r="S46" t="str">
        <f t="shared" si="0"/>
        <v>Pass</v>
      </c>
      <c r="T46" t="b">
        <f>COUNTBLANK('Res Compliance Calculator'!C93:L93)&gt;0</f>
        <v>1</v>
      </c>
      <c r="U46" t="str">
        <f>IF(Proposed_analysis[[#This Row],[Info?]]=FALSE,Proposed_analysis[[#This Row],[PASS/FAIL]],"More info needed")</f>
        <v>More info needed</v>
      </c>
    </row>
    <row r="47" spans="1:21" x14ac:dyDescent="0.3">
      <c r="A47" s="10">
        <f>'Res Compliance Calculator'!D94</f>
        <v>0</v>
      </c>
      <c r="B47" s="10">
        <f>'Res Compliance Calculator'!E94</f>
        <v>0</v>
      </c>
      <c r="C47" s="10">
        <f>'Res Compliance Calculator'!C94</f>
        <v>0</v>
      </c>
      <c r="D47" s="10">
        <f>'Res Compliance Calculator'!J94</f>
        <v>0</v>
      </c>
      <c r="E47" t="str">
        <f>IF(AND(OR(A47='Res - Ordinance Values'!$B$24,A47='Res - Ordinance Values'!$B$23,A47='Res - Ordinance Values'!$B$26),OR(D47='Res - Ordinance Values'!$B$10,AND(OR(D47='Res - Ordinance Values'!$B$11,D47='Res - Ordinance Values'!$B$17),'Res Compliance Calculator'!$D$28&lt;&gt;"Multi-Family"),D47='Res - Ordinance Values'!$B$12,D47='Res - Ordinance Values'!$B$16,D47='Res - Ordinance Values'!$B$19)),"Unapproved use of unshielded or partially shielded fixtures, ","")</f>
        <v/>
      </c>
      <c r="F47" s="69" t="str" cm="1">
        <f t="array" ref="F47">_xlfn.IFNA(IF('Res Compliance Calculator'!D94='Res - Ordinance Values'!$B$27,"",(IF('Res Compliance Calculator'!$F94&gt;VLOOKUP('Res Compliance Calculator'!$D94,'Res - Ordinance Values'!$B$23:$F$28,_xlfn.IFS('Res Compliance Calculator'!$D$29="LZ1",3,'Res Compliance Calculator'!$D$29="LZ2",4),FALSE),"Lumens exceed limit,",""))),"")</f>
        <v/>
      </c>
      <c r="G47" s="56"/>
      <c r="H47" s="57" t="str">
        <f>IF('Res Compliance Calculator'!I94="","",IF('Res Compliance Calculator'!I94&gt;3000,"CCT too high,",""))</f>
        <v/>
      </c>
      <c r="I47" s="69" t="str">
        <f>IF('Res Compliance Calculator'!I94="","",IF('Res Compliance Calculator'!I94&lt;2700,"CCT too low,",""))</f>
        <v/>
      </c>
      <c r="J47" s="70"/>
      <c r="K47" s="56"/>
      <c r="L47" s="69" t="str">
        <f>IF('Res Compliance Calculator'!$L94&lt;='Res Compliance Calculator'!$K94,"","Exceeds allowed mounting height,")</f>
        <v/>
      </c>
      <c r="M47" s="65"/>
      <c r="N47" s="66"/>
      <c r="O47" s="66"/>
      <c r="S47" t="str">
        <f t="shared" si="0"/>
        <v>Pass</v>
      </c>
      <c r="T47" t="b">
        <f>COUNTBLANK('Res Compliance Calculator'!C94:L94)&gt;0</f>
        <v>1</v>
      </c>
      <c r="U47" t="str">
        <f>IF(Proposed_analysis[[#This Row],[Info?]]=FALSE,Proposed_analysis[[#This Row],[PASS/FAIL]],"More info needed")</f>
        <v>More info needed</v>
      </c>
    </row>
    <row r="48" spans="1:21" x14ac:dyDescent="0.3">
      <c r="A48" s="10">
        <f>'Res Compliance Calculator'!D95</f>
        <v>0</v>
      </c>
      <c r="B48" s="10">
        <f>'Res Compliance Calculator'!E95</f>
        <v>0</v>
      </c>
      <c r="C48" s="10">
        <f>'Res Compliance Calculator'!C95</f>
        <v>0</v>
      </c>
      <c r="D48" s="10">
        <f>'Res Compliance Calculator'!J95</f>
        <v>0</v>
      </c>
      <c r="E48" t="str">
        <f>IF(AND(OR(A48='Res - Ordinance Values'!$B$24,A48='Res - Ordinance Values'!$B$23,A48='Res - Ordinance Values'!$B$26),OR(D48='Res - Ordinance Values'!$B$10,AND(OR(D48='Res - Ordinance Values'!$B$11,D48='Res - Ordinance Values'!$B$17),'Res Compliance Calculator'!$D$28&lt;&gt;"Multi-Family"),D48='Res - Ordinance Values'!$B$12,D48='Res - Ordinance Values'!$B$16,D48='Res - Ordinance Values'!$B$19)),"Unapproved use of unshielded or partially shielded fixtures, ","")</f>
        <v/>
      </c>
      <c r="F48" s="69" t="str" cm="1">
        <f t="array" ref="F48">_xlfn.IFNA(IF('Res Compliance Calculator'!D95='Res - Ordinance Values'!$B$27,"",(IF('Res Compliance Calculator'!$F95&gt;VLOOKUP('Res Compliance Calculator'!$D95,'Res - Ordinance Values'!$B$23:$F$28,_xlfn.IFS('Res Compliance Calculator'!$D$29="LZ1",3,'Res Compliance Calculator'!$D$29="LZ2",4),FALSE),"Lumens exceed limit,",""))),"")</f>
        <v/>
      </c>
      <c r="G48" s="56"/>
      <c r="H48" s="57" t="str">
        <f>IF('Res Compliance Calculator'!I95="","",IF('Res Compliance Calculator'!I95&gt;3000,"CCT too high,",""))</f>
        <v/>
      </c>
      <c r="I48" s="69" t="str">
        <f>IF('Res Compliance Calculator'!I95="","",IF('Res Compliance Calculator'!I95&lt;2700,"CCT too low,",""))</f>
        <v/>
      </c>
      <c r="J48" s="70"/>
      <c r="K48" s="56"/>
      <c r="L48" s="69" t="str">
        <f>IF('Res Compliance Calculator'!$L95&lt;='Res Compliance Calculator'!$K95,"","Exceeds allowed mounting height,")</f>
        <v/>
      </c>
      <c r="M48" s="65"/>
      <c r="N48" s="66"/>
      <c r="O48" s="66"/>
      <c r="S48" t="str">
        <f t="shared" si="0"/>
        <v>Pass</v>
      </c>
      <c r="T48" t="b">
        <f>COUNTBLANK('Res Compliance Calculator'!C95:L95)&gt;0</f>
        <v>1</v>
      </c>
      <c r="U48" t="str">
        <f>IF(Proposed_analysis[[#This Row],[Info?]]=FALSE,Proposed_analysis[[#This Row],[PASS/FAIL]],"More info needed")</f>
        <v>More info needed</v>
      </c>
    </row>
    <row r="49" spans="1:21" x14ac:dyDescent="0.3">
      <c r="A49" s="10">
        <f>'Res Compliance Calculator'!D96</f>
        <v>0</v>
      </c>
      <c r="B49" s="10">
        <f>'Res Compliance Calculator'!E96</f>
        <v>0</v>
      </c>
      <c r="C49" s="10">
        <f>'Res Compliance Calculator'!C96</f>
        <v>0</v>
      </c>
      <c r="D49" s="10">
        <f>'Res Compliance Calculator'!J96</f>
        <v>0</v>
      </c>
      <c r="E49" t="str">
        <f>IF(AND(OR(A49='Res - Ordinance Values'!$B$24,A49='Res - Ordinance Values'!$B$23,A49='Res - Ordinance Values'!$B$26),OR(D49='Res - Ordinance Values'!$B$10,AND(OR(D49='Res - Ordinance Values'!$B$11,D49='Res - Ordinance Values'!$B$17),'Res Compliance Calculator'!$D$28&lt;&gt;"Multi-Family"),D49='Res - Ordinance Values'!$B$12,D49='Res - Ordinance Values'!$B$16,D49='Res - Ordinance Values'!$B$19)),"Unapproved use of unshielded or partially shielded fixtures, ","")</f>
        <v/>
      </c>
      <c r="F49" s="69" t="str" cm="1">
        <f t="array" ref="F49">_xlfn.IFNA(IF('Res Compliance Calculator'!D96='Res - Ordinance Values'!$B$27,"",(IF('Res Compliance Calculator'!$F96&gt;VLOOKUP('Res Compliance Calculator'!$D96,'Res - Ordinance Values'!$B$23:$F$28,_xlfn.IFS('Res Compliance Calculator'!$D$29="LZ1",3,'Res Compliance Calculator'!$D$29="LZ2",4),FALSE),"Lumens exceed limit,",""))),"")</f>
        <v/>
      </c>
      <c r="H49" s="57" t="str">
        <f>IF('Res Compliance Calculator'!I96="","",IF('Res Compliance Calculator'!I96&gt;3000,"CCT too high,",""))</f>
        <v/>
      </c>
      <c r="I49" s="69" t="str">
        <f>IF('Res Compliance Calculator'!I96="","",IF('Res Compliance Calculator'!I96&lt;2700,"CCT too low,",""))</f>
        <v/>
      </c>
      <c r="L49" s="69" t="str">
        <f>IF('Res Compliance Calculator'!$L96&lt;='Res Compliance Calculator'!$K96,"","Exceeds allowed mounting height,")</f>
        <v/>
      </c>
      <c r="S49" t="str">
        <f t="shared" si="0"/>
        <v>Pass</v>
      </c>
      <c r="T49" t="b">
        <f>COUNTBLANK('Res Compliance Calculator'!C96:L96)&gt;0</f>
        <v>1</v>
      </c>
      <c r="U49" t="str">
        <f>IF(Proposed_analysis[[#This Row],[Info?]]=FALSE,Proposed_analysis[[#This Row],[PASS/FAIL]],"More info needed")</f>
        <v>More info needed</v>
      </c>
    </row>
    <row r="50" spans="1:21" x14ac:dyDescent="0.3">
      <c r="A50" s="10">
        <f>'Res Compliance Calculator'!D97</f>
        <v>0</v>
      </c>
      <c r="B50" s="10">
        <f>'Res Compliance Calculator'!E97</f>
        <v>0</v>
      </c>
      <c r="C50" s="10">
        <f>'Res Compliance Calculator'!C97</f>
        <v>0</v>
      </c>
      <c r="D50" s="10">
        <f>'Res Compliance Calculator'!J97</f>
        <v>0</v>
      </c>
      <c r="E50" t="str">
        <f>IF(AND(OR(A50='Res - Ordinance Values'!$B$24,A50='Res - Ordinance Values'!$B$23,A50='Res - Ordinance Values'!$B$26),OR(D50='Res - Ordinance Values'!$B$10,AND(OR(D50='Res - Ordinance Values'!$B$11,D50='Res - Ordinance Values'!$B$17),'Res Compliance Calculator'!$D$28&lt;&gt;"Multi-Family"),D50='Res - Ordinance Values'!$B$12,D50='Res - Ordinance Values'!$B$16,D50='Res - Ordinance Values'!$B$19)),"Unapproved use of unshielded or partially shielded fixtures, ","")</f>
        <v/>
      </c>
      <c r="F50" s="69" t="str" cm="1">
        <f t="array" ref="F50">_xlfn.IFNA(IF('Res Compliance Calculator'!D97='Res - Ordinance Values'!$B$27,"",(IF('Res Compliance Calculator'!$F97&gt;VLOOKUP('Res Compliance Calculator'!$D97,'Res - Ordinance Values'!$B$23:$F$28,_xlfn.IFS('Res Compliance Calculator'!$D$29="LZ1",3,'Res Compliance Calculator'!$D$29="LZ2",4),FALSE),"Lumens exceed limit,",""))),"")</f>
        <v/>
      </c>
      <c r="H50" s="57" t="str">
        <f>IF('Res Compliance Calculator'!I97="","",IF('Res Compliance Calculator'!I97&gt;3000,"CCT too high,",""))</f>
        <v/>
      </c>
      <c r="I50" s="69" t="str">
        <f>IF('Res Compliance Calculator'!I97="","",IF('Res Compliance Calculator'!I97&lt;2700,"CCT too low,",""))</f>
        <v/>
      </c>
      <c r="L50" s="69" t="str">
        <f>IF('Res Compliance Calculator'!$L97&lt;='Res Compliance Calculator'!$K97,"","Exceeds allowed mounting height,")</f>
        <v/>
      </c>
      <c r="S50" t="str">
        <f t="shared" si="0"/>
        <v>Pass</v>
      </c>
      <c r="T50" t="b">
        <f>COUNTBLANK('Res Compliance Calculator'!C97:L97)&gt;0</f>
        <v>1</v>
      </c>
      <c r="U50" t="str">
        <f>IF(Proposed_analysis[[#This Row],[Info?]]=FALSE,Proposed_analysis[[#This Row],[PASS/FAIL]],"More info needed")</f>
        <v>More info needed</v>
      </c>
    </row>
    <row r="51" spans="1:21" x14ac:dyDescent="0.3">
      <c r="A51" s="10">
        <f>'Res Compliance Calculator'!D98</f>
        <v>0</v>
      </c>
      <c r="B51" s="10">
        <f>'Res Compliance Calculator'!E98</f>
        <v>0</v>
      </c>
      <c r="C51" s="10">
        <f>'Res Compliance Calculator'!C98</f>
        <v>0</v>
      </c>
      <c r="D51" s="10">
        <f>'Res Compliance Calculator'!J98</f>
        <v>0</v>
      </c>
      <c r="E51" t="str">
        <f>IF(AND(OR(A51='Res - Ordinance Values'!$B$24,A51='Res - Ordinance Values'!$B$23,A51='Res - Ordinance Values'!$B$26),OR(D51='Res - Ordinance Values'!$B$10,AND(OR(D51='Res - Ordinance Values'!$B$11,D51='Res - Ordinance Values'!$B$17),'Res Compliance Calculator'!$D$28&lt;&gt;"Multi-Family"),D51='Res - Ordinance Values'!$B$12,D51='Res - Ordinance Values'!$B$16,D51='Res - Ordinance Values'!$B$19)),"Unapproved use of unshielded or partially shielded fixtures, ","")</f>
        <v/>
      </c>
      <c r="F51" s="69" t="str" cm="1">
        <f t="array" ref="F51">_xlfn.IFNA(IF('Res Compliance Calculator'!D98='Res - Ordinance Values'!$B$27,"",(IF('Res Compliance Calculator'!$F98&gt;VLOOKUP('Res Compliance Calculator'!$D98,'Res - Ordinance Values'!$B$23:$F$28,_xlfn.IFS('Res Compliance Calculator'!$D$29="LZ1",3,'Res Compliance Calculator'!$D$29="LZ2",4),FALSE),"Lumens exceed limit,",""))),"")</f>
        <v/>
      </c>
      <c r="H51" s="57" t="str">
        <f>IF('Res Compliance Calculator'!I98="","",IF('Res Compliance Calculator'!I98&gt;3000,"CCT too high,",""))</f>
        <v/>
      </c>
      <c r="I51" s="69" t="str">
        <f>IF('Res Compliance Calculator'!I98="","",IF('Res Compliance Calculator'!I98&lt;2700,"CCT too low,",""))</f>
        <v/>
      </c>
      <c r="L51" s="69" t="str">
        <f>IF('Res Compliance Calculator'!$L98&lt;='Res Compliance Calculator'!$K98,"","Exceeds allowed mounting height,")</f>
        <v/>
      </c>
      <c r="S51" t="str">
        <f t="shared" si="0"/>
        <v>Pass</v>
      </c>
      <c r="T51" t="b">
        <f>COUNTBLANK('Res Compliance Calculator'!C98:L98)&gt;0</f>
        <v>1</v>
      </c>
      <c r="U51" t="str">
        <f>IF(Proposed_analysis[[#This Row],[Info?]]=FALSE,Proposed_analysis[[#This Row],[PASS/FAIL]],"More info needed")</f>
        <v>More info needed</v>
      </c>
    </row>
    <row r="52" spans="1:21" x14ac:dyDescent="0.3">
      <c r="A52" s="10">
        <f>'Res Compliance Calculator'!D99</f>
        <v>0</v>
      </c>
      <c r="B52" s="10">
        <f>'Res Compliance Calculator'!E99</f>
        <v>0</v>
      </c>
      <c r="C52" s="10">
        <f>'Res Compliance Calculator'!C99</f>
        <v>0</v>
      </c>
      <c r="D52" s="10">
        <f>'Res Compliance Calculator'!J99</f>
        <v>0</v>
      </c>
      <c r="E52" t="str">
        <f>IF(AND(OR(A52='Res - Ordinance Values'!$B$24,A52='Res - Ordinance Values'!$B$23,A52='Res - Ordinance Values'!$B$26),OR(D52='Res - Ordinance Values'!$B$10,AND(OR(D52='Res - Ordinance Values'!$B$11,D52='Res - Ordinance Values'!$B$17),'Res Compliance Calculator'!$D$28&lt;&gt;"Multi-Family"),D52='Res - Ordinance Values'!$B$12,D52='Res - Ordinance Values'!$B$16,D52='Res - Ordinance Values'!$B$19)),"Unapproved use of unshielded or partially shielded fixtures, ","")</f>
        <v/>
      </c>
      <c r="F52" s="69" t="str" cm="1">
        <f t="array" ref="F52">_xlfn.IFNA(IF('Res Compliance Calculator'!D99='Res - Ordinance Values'!$B$27,"",(IF('Res Compliance Calculator'!$F99&gt;VLOOKUP('Res Compliance Calculator'!$D99,'Res - Ordinance Values'!$B$23:$F$28,_xlfn.IFS('Res Compliance Calculator'!$D$29="LZ1",3,'Res Compliance Calculator'!$D$29="LZ2",4),FALSE),"Lumens exceed limit,",""))),"")</f>
        <v/>
      </c>
      <c r="H52" s="57" t="str">
        <f>IF('Res Compliance Calculator'!I99="","",IF('Res Compliance Calculator'!I99&gt;3000,"CCT too high,",""))</f>
        <v/>
      </c>
      <c r="I52" s="69" t="str">
        <f>IF('Res Compliance Calculator'!I99="","",IF('Res Compliance Calculator'!I99&lt;2700,"CCT too low,",""))</f>
        <v/>
      </c>
      <c r="L52" s="69" t="str">
        <f>IF('Res Compliance Calculator'!$L99&lt;='Res Compliance Calculator'!$K99,"","Exceeds allowed mounting height,")</f>
        <v/>
      </c>
      <c r="S52" t="str">
        <f t="shared" si="0"/>
        <v>Pass</v>
      </c>
      <c r="T52" t="b">
        <f>COUNTBLANK('Res Compliance Calculator'!C99:L99)&gt;0</f>
        <v>1</v>
      </c>
      <c r="U52" t="str">
        <f>IF(Proposed_analysis[[#This Row],[Info?]]=FALSE,Proposed_analysis[[#This Row],[PASS/FAIL]],"More info needed")</f>
        <v>More info needed</v>
      </c>
    </row>
    <row r="53" spans="1:21" x14ac:dyDescent="0.3">
      <c r="A53" s="10">
        <f>'Res Compliance Calculator'!D100</f>
        <v>0</v>
      </c>
      <c r="B53" s="10">
        <f>'Res Compliance Calculator'!E100</f>
        <v>0</v>
      </c>
      <c r="C53" s="10">
        <f>'Res Compliance Calculator'!C100</f>
        <v>0</v>
      </c>
      <c r="D53" s="10">
        <f>'Res Compliance Calculator'!J100</f>
        <v>0</v>
      </c>
      <c r="E53" t="str">
        <f>IF(AND(OR(A53='Res - Ordinance Values'!$B$24,A53='Res - Ordinance Values'!$B$23,A53='Res - Ordinance Values'!$B$26),OR(D53='Res - Ordinance Values'!$B$10,AND(OR(D53='Res - Ordinance Values'!$B$11,D53='Res - Ordinance Values'!$B$17),'Res Compliance Calculator'!$D$28&lt;&gt;"Multi-Family"),D53='Res - Ordinance Values'!$B$12,D53='Res - Ordinance Values'!$B$16,D53='Res - Ordinance Values'!$B$19)),"Unapproved use of unshielded or partially shielded fixtures, ","")</f>
        <v/>
      </c>
      <c r="F53" s="69" t="str" cm="1">
        <f t="array" ref="F53">_xlfn.IFNA(IF('Res Compliance Calculator'!D100='Res - Ordinance Values'!$B$27,"",(IF('Res Compliance Calculator'!$F100&gt;VLOOKUP('Res Compliance Calculator'!$D100,'Res - Ordinance Values'!$B$23:$F$28,_xlfn.IFS('Res Compliance Calculator'!$D$29="LZ1",3,'Res Compliance Calculator'!$D$29="LZ2",4),FALSE),"Lumens exceed limit,",""))),"")</f>
        <v/>
      </c>
      <c r="H53" s="57" t="str">
        <f>IF('Res Compliance Calculator'!I100="","",IF('Res Compliance Calculator'!I100&gt;3000,"CCT too high,",""))</f>
        <v/>
      </c>
      <c r="I53" s="69" t="str">
        <f>IF('Res Compliance Calculator'!I100="","",IF('Res Compliance Calculator'!I100&lt;2700,"CCT too low,",""))</f>
        <v/>
      </c>
      <c r="L53" s="69" t="str">
        <f>IF('Res Compliance Calculator'!$L100&lt;='Res Compliance Calculator'!$K100,"","Exceeds allowed mounting height,")</f>
        <v/>
      </c>
      <c r="S53" t="str">
        <f t="shared" si="0"/>
        <v>Pass</v>
      </c>
      <c r="T53" t="b">
        <f>COUNTBLANK('Res Compliance Calculator'!C100:L100)&gt;0</f>
        <v>1</v>
      </c>
      <c r="U53" t="str">
        <f>IF(Proposed_analysis[[#This Row],[Info?]]=FALSE,Proposed_analysis[[#This Row],[PASS/FAIL]],"More info needed")</f>
        <v>More info needed</v>
      </c>
    </row>
    <row r="54" spans="1:21" x14ac:dyDescent="0.3">
      <c r="A54" s="10">
        <f>'Res Compliance Calculator'!D101</f>
        <v>0</v>
      </c>
      <c r="B54" s="10">
        <f>'Res Compliance Calculator'!E101</f>
        <v>0</v>
      </c>
      <c r="C54" s="10">
        <f>'Res Compliance Calculator'!C101</f>
        <v>0</v>
      </c>
      <c r="D54" s="10">
        <f>'Res Compliance Calculator'!J101</f>
        <v>0</v>
      </c>
      <c r="E54" t="str">
        <f>IF(AND(OR(A54='Res - Ordinance Values'!$B$24,A54='Res - Ordinance Values'!$B$23,A54='Res - Ordinance Values'!$B$26),OR(D54='Res - Ordinance Values'!$B$10,AND(OR(D54='Res - Ordinance Values'!$B$11,D54='Res - Ordinance Values'!$B$17),'Res Compliance Calculator'!$D$28&lt;&gt;"Multi-Family"),D54='Res - Ordinance Values'!$B$12,D54='Res - Ordinance Values'!$B$16,D54='Res - Ordinance Values'!$B$19)),"Unapproved use of unshielded or partially shielded fixtures, ","")</f>
        <v/>
      </c>
      <c r="F54" s="69" t="str" cm="1">
        <f t="array" ref="F54">_xlfn.IFNA(IF('Res Compliance Calculator'!D101='Res - Ordinance Values'!$B$27,"",(IF('Res Compliance Calculator'!$F101&gt;VLOOKUP('Res Compliance Calculator'!$D101,'Res - Ordinance Values'!$B$23:$F$28,_xlfn.IFS('Res Compliance Calculator'!$D$29="LZ1",3,'Res Compliance Calculator'!$D$29="LZ2",4),FALSE),"Lumens exceed limit,",""))),"")</f>
        <v/>
      </c>
      <c r="H54" s="57" t="str">
        <f>IF('Res Compliance Calculator'!I101="","",IF('Res Compliance Calculator'!I101&gt;3000,"CCT too high,",""))</f>
        <v/>
      </c>
      <c r="I54" s="69" t="str">
        <f>IF('Res Compliance Calculator'!I101="","",IF('Res Compliance Calculator'!I101&lt;2700,"CCT too low,",""))</f>
        <v/>
      </c>
      <c r="L54" s="69" t="str">
        <f>IF('Res Compliance Calculator'!$L101&lt;='Res Compliance Calculator'!$K101,"","Exceeds allowed mounting height,")</f>
        <v/>
      </c>
      <c r="S54" t="str">
        <f t="shared" si="0"/>
        <v>Pass</v>
      </c>
      <c r="T54" t="b">
        <f>COUNTBLANK('Res Compliance Calculator'!C101:L101)&gt;0</f>
        <v>1</v>
      </c>
      <c r="U54" t="str">
        <f>IF(Proposed_analysis[[#This Row],[Info?]]=FALSE,Proposed_analysis[[#This Row],[PASS/FAIL]],"More info needed")</f>
        <v>More info needed</v>
      </c>
    </row>
    <row r="55" spans="1:21" x14ac:dyDescent="0.3">
      <c r="A55" s="10">
        <f>'Res Compliance Calculator'!D102</f>
        <v>0</v>
      </c>
      <c r="B55" s="10">
        <f>'Res Compliance Calculator'!E102</f>
        <v>0</v>
      </c>
      <c r="C55" s="10">
        <f>'Res Compliance Calculator'!C102</f>
        <v>0</v>
      </c>
      <c r="D55" s="10">
        <f>'Res Compliance Calculator'!J102</f>
        <v>0</v>
      </c>
      <c r="E55" t="str">
        <f>IF(AND(OR(A55='Res - Ordinance Values'!$B$24,A55='Res - Ordinance Values'!$B$23,A55='Res - Ordinance Values'!$B$26),OR(D55='Res - Ordinance Values'!$B$10,AND(OR(D55='Res - Ordinance Values'!$B$11,D55='Res - Ordinance Values'!$B$17),'Res Compliance Calculator'!$D$28&lt;&gt;"Multi-Family"),D55='Res - Ordinance Values'!$B$12,D55='Res - Ordinance Values'!$B$16,D55='Res - Ordinance Values'!$B$19)),"Unapproved use of unshielded or partially shielded fixtures, ","")</f>
        <v/>
      </c>
      <c r="F55" s="69" t="str" cm="1">
        <f t="array" ref="F55">_xlfn.IFNA(IF('Res Compliance Calculator'!D102='Res - Ordinance Values'!$B$27,"",(IF('Res Compliance Calculator'!$F102&gt;VLOOKUP('Res Compliance Calculator'!$D102,'Res - Ordinance Values'!$B$23:$F$28,_xlfn.IFS('Res Compliance Calculator'!$D$29="LZ1",3,'Res Compliance Calculator'!$D$29="LZ2",4),FALSE),"Lumens exceed limit,",""))),"")</f>
        <v/>
      </c>
      <c r="H55" s="57" t="str">
        <f>IF('Res Compliance Calculator'!I102="","",IF('Res Compliance Calculator'!I102&gt;3000,"CCT too high,",""))</f>
        <v/>
      </c>
      <c r="I55" s="69" t="str">
        <f>IF('Res Compliance Calculator'!I102="","",IF('Res Compliance Calculator'!I102&lt;2700,"CCT too low,",""))</f>
        <v/>
      </c>
      <c r="L55" s="69" t="str">
        <f>IF('Res Compliance Calculator'!$L102&lt;='Res Compliance Calculator'!$K102,"","Exceeds allowed mounting height,")</f>
        <v/>
      </c>
      <c r="S55" t="str">
        <f t="shared" si="0"/>
        <v>Pass</v>
      </c>
      <c r="T55" t="b">
        <f>COUNTBLANK('Res Compliance Calculator'!C102:L102)&gt;0</f>
        <v>1</v>
      </c>
      <c r="U55" t="str">
        <f>IF(Proposed_analysis[[#This Row],[Info?]]=FALSE,Proposed_analysis[[#This Row],[PASS/FAIL]],"More info needed")</f>
        <v>More info needed</v>
      </c>
    </row>
    <row r="56" spans="1:21" x14ac:dyDescent="0.3">
      <c r="A56" s="10">
        <f>'Res Compliance Calculator'!D103</f>
        <v>0</v>
      </c>
      <c r="B56" s="10">
        <f>'Res Compliance Calculator'!E103</f>
        <v>0</v>
      </c>
      <c r="C56" s="10" t="str">
        <f>'Res Compliance Calculator'!C103</f>
        <v xml:space="preserve">If the scope does not trigger the entire property into compliance, only new and replaced fixtures need to comply with the adopted regulations. Non-conformities cannot be increased - the proposed lumens on the site must decrease (or conform), the percentage of unshielded/partially shielded fixtures must decrease (or conform), and any new or replaced fixtures must conform with shielding requirements. </v>
      </c>
      <c r="D56" s="10">
        <f>'Res Compliance Calculator'!J103</f>
        <v>0</v>
      </c>
      <c r="E56" t="str">
        <f>IF(AND(OR(A56='Res - Ordinance Values'!$B$24,A56='Res - Ordinance Values'!$B$23,A56='Res - Ordinance Values'!$B$26),OR(D56='Res - Ordinance Values'!$B$10,AND(OR(D56='Res - Ordinance Values'!$B$11,D56='Res - Ordinance Values'!$B$17),'Res Compliance Calculator'!$D$28&lt;&gt;"Multi-Family"),D56='Res - Ordinance Values'!$B$12,D56='Res - Ordinance Values'!$B$16,D56='Res - Ordinance Values'!$B$19)),"Unapproved use of unshielded or partially shielded fixtures, ","")</f>
        <v/>
      </c>
      <c r="F56" s="69" t="str" cm="1">
        <f t="array" ref="F56">_xlfn.IFNA(IF('Res Compliance Calculator'!D103='Res - Ordinance Values'!$B$27,"",(IF('Res Compliance Calculator'!$F103&gt;VLOOKUP('Res Compliance Calculator'!$D103,'Res - Ordinance Values'!$B$23:$F$28,_xlfn.IFS('Res Compliance Calculator'!$D$29="LZ1",3,'Res Compliance Calculator'!$D$29="LZ2",4),FALSE),"Lumens exceed limit,",""))),"")</f>
        <v/>
      </c>
      <c r="H56" s="57" t="str">
        <f>IF('Res Compliance Calculator'!I103="","",IF('Res Compliance Calculator'!I103&gt;3000,"CCT too high,",""))</f>
        <v/>
      </c>
      <c r="I56" s="69" t="str">
        <f>IF('Res Compliance Calculator'!I103="","",IF('Res Compliance Calculator'!I103&lt;2700,"CCT too low,",""))</f>
        <v/>
      </c>
      <c r="L56" s="69" t="str">
        <f>IF('Res Compliance Calculator'!$L103&lt;='Res Compliance Calculator'!$K103,"","Exceeds allowed mounting height,")</f>
        <v/>
      </c>
      <c r="S56" t="str">
        <f t="shared" si="0"/>
        <v>Pass</v>
      </c>
      <c r="T56" t="b">
        <f>COUNTBLANK('Res Compliance Calculator'!C103:L103)&gt;0</f>
        <v>1</v>
      </c>
      <c r="U56" t="str">
        <f>IF(Proposed_analysis[[#This Row],[Info?]]=FALSE,Proposed_analysis[[#This Row],[PASS/FAIL]],"More info needed")</f>
        <v>More info needed</v>
      </c>
    </row>
    <row r="64" spans="1:21" x14ac:dyDescent="0.3">
      <c r="A64" t="s">
        <v>362</v>
      </c>
    </row>
    <row r="65" spans="1:4" ht="48" customHeight="1" x14ac:dyDescent="0.3">
      <c r="A65" s="220" t="s">
        <v>363</v>
      </c>
      <c r="B65" s="498" t="s">
        <v>367</v>
      </c>
      <c r="C65" s="498"/>
      <c r="D65" s="498"/>
    </row>
    <row r="66" spans="1:4" ht="23.25" customHeight="1" x14ac:dyDescent="0.3">
      <c r="A66" s="220" t="s">
        <v>364</v>
      </c>
      <c r="B66" s="498" t="s">
        <v>365</v>
      </c>
      <c r="C66" s="498"/>
      <c r="D66" s="498"/>
    </row>
    <row r="67" spans="1:4" x14ac:dyDescent="0.3">
      <c r="B67" s="219"/>
      <c r="C67" s="219"/>
      <c r="D67" s="219"/>
    </row>
  </sheetData>
  <mergeCells count="2">
    <mergeCell ref="B65:D65"/>
    <mergeCell ref="B66:D66"/>
  </mergeCells>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95467-2BD3-49ED-950D-ACF9E7C27CCF}">
  <dimension ref="A1:R70"/>
  <sheetViews>
    <sheetView zoomScale="110" zoomScaleNormal="110" workbookViewId="0">
      <selection activeCell="C44" sqref="C44"/>
    </sheetView>
  </sheetViews>
  <sheetFormatPr defaultRowHeight="14.4" x14ac:dyDescent="0.3"/>
  <cols>
    <col min="2" max="2" width="62.5546875" bestFit="1" customWidth="1"/>
    <col min="3" max="3" width="10.6640625" customWidth="1"/>
    <col min="4" max="4" width="26.109375" bestFit="1" customWidth="1"/>
    <col min="6" max="6" width="13.5546875" customWidth="1"/>
  </cols>
  <sheetData>
    <row r="1" spans="1:12" ht="55.95" customHeight="1" x14ac:dyDescent="0.3">
      <c r="B1" s="523" t="s">
        <v>74</v>
      </c>
      <c r="C1" s="524"/>
    </row>
    <row r="2" spans="1:12" s="1" customFormat="1" ht="28.8" x14ac:dyDescent="0.3">
      <c r="B2" s="34" t="s">
        <v>2</v>
      </c>
      <c r="C2" s="35" t="s">
        <v>12</v>
      </c>
    </row>
    <row r="3" spans="1:12" s="1" customFormat="1" x14ac:dyDescent="0.3">
      <c r="B3" s="36" t="s">
        <v>15</v>
      </c>
      <c r="C3" s="37">
        <v>0.05</v>
      </c>
      <c r="D3"/>
      <c r="E3"/>
      <c r="F3"/>
      <c r="G3"/>
      <c r="H3"/>
      <c r="I3"/>
    </row>
    <row r="4" spans="1:12" s="1" customFormat="1" x14ac:dyDescent="0.3">
      <c r="B4" s="36" t="s">
        <v>16</v>
      </c>
      <c r="C4" s="37">
        <v>0.1</v>
      </c>
      <c r="D4"/>
      <c r="E4"/>
    </row>
    <row r="5" spans="1:12" x14ac:dyDescent="0.3">
      <c r="B5" s="36" t="s">
        <v>17</v>
      </c>
      <c r="C5" s="37">
        <v>0.3</v>
      </c>
    </row>
    <row r="6" spans="1:12" ht="15" thickBot="1" x14ac:dyDescent="0.35">
      <c r="B6" s="38" t="s">
        <v>18</v>
      </c>
      <c r="C6" s="39">
        <v>0.8</v>
      </c>
    </row>
    <row r="7" spans="1:12" ht="15" thickBot="1" x14ac:dyDescent="0.35"/>
    <row r="8" spans="1:12" ht="29.55" customHeight="1" thickBot="1" x14ac:dyDescent="0.35">
      <c r="B8" s="525" t="s">
        <v>138</v>
      </c>
      <c r="C8" s="526"/>
      <c r="D8" s="51" t="s">
        <v>147</v>
      </c>
      <c r="E8" t="s">
        <v>122</v>
      </c>
    </row>
    <row r="9" spans="1:12" ht="43.2" x14ac:dyDescent="0.3">
      <c r="B9" s="40" t="s">
        <v>336</v>
      </c>
      <c r="C9" s="11" t="s">
        <v>14</v>
      </c>
      <c r="D9" s="37"/>
    </row>
    <row r="10" spans="1:12" x14ac:dyDescent="0.3">
      <c r="B10" s="36" t="s">
        <v>139</v>
      </c>
      <c r="C10">
        <v>3.5</v>
      </c>
      <c r="D10" s="37" t="s">
        <v>141</v>
      </c>
    </row>
    <row r="11" spans="1:12" x14ac:dyDescent="0.3">
      <c r="A11">
        <v>1</v>
      </c>
      <c r="B11" s="53" t="s">
        <v>291</v>
      </c>
      <c r="C11" s="12">
        <v>12</v>
      </c>
      <c r="D11" s="37" t="s">
        <v>142</v>
      </c>
      <c r="E11" t="s">
        <v>158</v>
      </c>
      <c r="H11" s="1"/>
      <c r="I11" s="1"/>
      <c r="J11" s="1"/>
      <c r="K11" s="1"/>
      <c r="L11" s="1"/>
    </row>
    <row r="12" spans="1:12" ht="28.8" x14ac:dyDescent="0.3">
      <c r="B12" s="40" t="s">
        <v>202</v>
      </c>
      <c r="C12" s="11" t="s">
        <v>245</v>
      </c>
      <c r="D12" s="37"/>
    </row>
    <row r="13" spans="1:12" x14ac:dyDescent="0.3">
      <c r="B13" s="40" t="s">
        <v>379</v>
      </c>
      <c r="C13" s="11">
        <v>12</v>
      </c>
      <c r="D13" s="37"/>
    </row>
    <row r="14" spans="1:12" x14ac:dyDescent="0.3">
      <c r="A14">
        <v>1</v>
      </c>
      <c r="B14" s="40" t="s">
        <v>143</v>
      </c>
      <c r="C14" s="11">
        <v>3.5</v>
      </c>
      <c r="D14" s="37" t="s">
        <v>144</v>
      </c>
    </row>
    <row r="15" spans="1:12" x14ac:dyDescent="0.3">
      <c r="A15">
        <v>1</v>
      </c>
      <c r="B15" s="36" t="s">
        <v>150</v>
      </c>
      <c r="C15">
        <v>0</v>
      </c>
      <c r="D15" s="37" t="s">
        <v>135</v>
      </c>
      <c r="E15" t="s">
        <v>136</v>
      </c>
    </row>
    <row r="16" spans="1:12" x14ac:dyDescent="0.3">
      <c r="B16" s="36" t="s">
        <v>149</v>
      </c>
      <c r="C16">
        <v>12</v>
      </c>
      <c r="D16" s="37" t="s">
        <v>140</v>
      </c>
    </row>
    <row r="17" spans="1:18" x14ac:dyDescent="0.3">
      <c r="A17">
        <v>1</v>
      </c>
      <c r="B17" s="36" t="s">
        <v>151</v>
      </c>
      <c r="C17">
        <v>6</v>
      </c>
      <c r="D17" s="37" t="s">
        <v>135</v>
      </c>
      <c r="E17" t="s">
        <v>137</v>
      </c>
    </row>
    <row r="18" spans="1:18" ht="15" thickBot="1" x14ac:dyDescent="0.35">
      <c r="A18">
        <v>1</v>
      </c>
      <c r="B18" s="38" t="s">
        <v>133</v>
      </c>
      <c r="C18" s="42">
        <v>25</v>
      </c>
      <c r="D18" s="39" t="s">
        <v>134</v>
      </c>
    </row>
    <row r="19" spans="1:18" x14ac:dyDescent="0.3">
      <c r="A19">
        <v>0</v>
      </c>
      <c r="B19" s="36" t="s">
        <v>361</v>
      </c>
      <c r="C19" t="s">
        <v>245</v>
      </c>
    </row>
    <row r="20" spans="1:18" ht="15" thickBot="1" x14ac:dyDescent="0.35">
      <c r="A20">
        <v>0</v>
      </c>
      <c r="B20" s="36" t="s">
        <v>366</v>
      </c>
      <c r="C20" t="s">
        <v>245</v>
      </c>
    </row>
    <row r="21" spans="1:18" ht="28.95" customHeight="1" x14ac:dyDescent="0.3">
      <c r="B21" s="529" t="s">
        <v>76</v>
      </c>
      <c r="C21" s="530"/>
      <c r="D21" s="530"/>
      <c r="E21" s="530"/>
      <c r="F21" s="530"/>
      <c r="G21" s="531"/>
      <c r="J21" s="518" t="s">
        <v>335</v>
      </c>
      <c r="K21" s="519"/>
      <c r="L21" s="519"/>
      <c r="M21" s="519"/>
      <c r="N21" s="519"/>
      <c r="O21" s="199"/>
      <c r="P21" s="199"/>
      <c r="Q21" s="200"/>
    </row>
    <row r="22" spans="1:18" x14ac:dyDescent="0.3">
      <c r="B22" s="74" t="s">
        <v>13</v>
      </c>
      <c r="C22" s="58" t="s">
        <v>15</v>
      </c>
      <c r="D22" s="58" t="s">
        <v>16</v>
      </c>
      <c r="E22" s="58" t="s">
        <v>17</v>
      </c>
      <c r="F22" s="58" t="s">
        <v>18</v>
      </c>
      <c r="G22" s="63"/>
      <c r="J22" s="201" t="s">
        <v>334</v>
      </c>
      <c r="Q22" s="202"/>
    </row>
    <row r="23" spans="1:18" x14ac:dyDescent="0.3">
      <c r="B23" s="75" t="s">
        <v>145</v>
      </c>
      <c r="C23" s="58">
        <v>0</v>
      </c>
      <c r="D23" s="58">
        <v>205</v>
      </c>
      <c r="E23" s="58">
        <v>430</v>
      </c>
      <c r="F23" s="58">
        <v>430</v>
      </c>
      <c r="G23" s="63"/>
      <c r="J23" s="201" t="str" cm="1">
        <f t="array" ref="J23:J28">'Res - Ordinance Values'!B23:B28</f>
        <v>Low Voltage Luminaire (unshielded or partially shielded)</v>
      </c>
      <c r="Q23" s="202"/>
    </row>
    <row r="24" spans="1:18" x14ac:dyDescent="0.3">
      <c r="B24" s="75" t="s">
        <v>146</v>
      </c>
      <c r="C24" s="58">
        <v>0</v>
      </c>
      <c r="D24" s="58">
        <v>455</v>
      </c>
      <c r="E24" s="58">
        <v>910</v>
      </c>
      <c r="F24" s="58">
        <v>910</v>
      </c>
      <c r="G24" s="63"/>
      <c r="J24" s="201" t="str">
        <v>In-grade uplight (unshielded)</v>
      </c>
      <c r="Q24" s="202"/>
    </row>
    <row r="25" spans="1:18" x14ac:dyDescent="0.3">
      <c r="B25" s="75" t="s">
        <v>73</v>
      </c>
      <c r="C25" s="58">
        <v>0</v>
      </c>
      <c r="D25" s="58">
        <v>630</v>
      </c>
      <c r="E25" s="58">
        <v>1260</v>
      </c>
      <c r="F25" s="58">
        <v>1260</v>
      </c>
      <c r="G25" s="63"/>
      <c r="J25" s="201" t="str">
        <v>Shielded directional floodlight</v>
      </c>
      <c r="Q25" s="202"/>
    </row>
    <row r="26" spans="1:18" x14ac:dyDescent="0.3">
      <c r="B26" s="75" t="s">
        <v>93</v>
      </c>
      <c r="C26" s="58">
        <v>0</v>
      </c>
      <c r="D26" s="58">
        <v>900</v>
      </c>
      <c r="E26" s="58">
        <v>1125</v>
      </c>
      <c r="F26" s="58">
        <v>1600</v>
      </c>
      <c r="G26" s="63"/>
      <c r="J26" s="201" t="str">
        <v>Partially shielded decorative</v>
      </c>
      <c r="Q26" s="202"/>
    </row>
    <row r="27" spans="1:18" x14ac:dyDescent="0.3">
      <c r="B27" s="75" t="s">
        <v>130</v>
      </c>
      <c r="C27" s="58"/>
      <c r="D27" s="58"/>
      <c r="E27" s="58"/>
      <c r="F27" s="58"/>
      <c r="G27" s="63"/>
      <c r="J27" s="201" t="str">
        <v>Fully shielded</v>
      </c>
      <c r="Q27" s="202"/>
    </row>
    <row r="28" spans="1:18" s="2" customFormat="1" ht="29.4" thickBot="1" x14ac:dyDescent="0.35">
      <c r="B28" s="76" t="s">
        <v>194</v>
      </c>
      <c r="C28" s="77"/>
      <c r="D28" s="77">
        <v>1E+22</v>
      </c>
      <c r="E28" s="77">
        <v>1E+18</v>
      </c>
      <c r="F28" s="77">
        <v>1E+19</v>
      </c>
      <c r="G28" s="78"/>
      <c r="J28" s="144" t="str">
        <v>Seasonal Lighting - only necessary if within 10' of Stream Margin/Hallam Bluff</v>
      </c>
      <c r="K28" s="203"/>
      <c r="L28" s="203"/>
      <c r="M28" s="203"/>
      <c r="N28" s="203"/>
      <c r="O28" s="203"/>
      <c r="P28" s="203"/>
      <c r="Q28" s="143"/>
    </row>
    <row r="29" spans="1:18" s="2" customFormat="1" ht="15" thickBot="1" x14ac:dyDescent="0.35">
      <c r="B29"/>
      <c r="C29"/>
      <c r="D29"/>
      <c r="E29"/>
      <c r="F29"/>
      <c r="G29"/>
    </row>
    <row r="30" spans="1:18" ht="30" customHeight="1" x14ac:dyDescent="0.3">
      <c r="B30" s="527" t="s">
        <v>75</v>
      </c>
      <c r="C30" s="528"/>
      <c r="D30" s="460"/>
      <c r="G30" s="17"/>
      <c r="H30" s="17"/>
      <c r="I30" s="17"/>
      <c r="J30" s="17"/>
    </row>
    <row r="31" spans="1:18" x14ac:dyDescent="0.3">
      <c r="B31" s="41"/>
      <c r="D31" s="43"/>
      <c r="F31" s="20"/>
      <c r="H31" s="15"/>
      <c r="I31" s="17"/>
      <c r="O31" s="17"/>
      <c r="P31" s="17"/>
      <c r="Q31" s="17"/>
      <c r="R31" s="17"/>
    </row>
    <row r="32" spans="1:18" x14ac:dyDescent="0.3">
      <c r="B32" s="36" t="s">
        <v>67</v>
      </c>
      <c r="C32" t="s">
        <v>16</v>
      </c>
      <c r="D32" s="43" t="s">
        <v>17</v>
      </c>
      <c r="H32" s="15"/>
      <c r="I32" s="17"/>
      <c r="O32" s="17"/>
      <c r="P32" s="17"/>
      <c r="Q32" s="17"/>
      <c r="R32" s="17"/>
    </row>
    <row r="33" spans="1:18" x14ac:dyDescent="0.3">
      <c r="A33" s="14"/>
      <c r="B33" s="44">
        <v>50000</v>
      </c>
      <c r="C33" s="19">
        <v>20000</v>
      </c>
      <c r="D33" s="45">
        <v>20000</v>
      </c>
      <c r="F33" s="19"/>
      <c r="G33" s="19"/>
      <c r="H33" s="19"/>
      <c r="I33" s="17"/>
      <c r="O33" s="18"/>
      <c r="P33" s="17"/>
      <c r="Q33" s="18"/>
      <c r="R33" s="17"/>
    </row>
    <row r="34" spans="1:18" x14ac:dyDescent="0.3">
      <c r="A34" s="14"/>
      <c r="B34" s="44">
        <v>30000</v>
      </c>
      <c r="C34" s="19">
        <v>13500</v>
      </c>
      <c r="D34" s="45">
        <v>13500</v>
      </c>
      <c r="F34" s="19"/>
      <c r="G34" s="19"/>
      <c r="H34" s="19"/>
      <c r="I34" s="17"/>
      <c r="O34" s="18"/>
      <c r="P34" s="17"/>
      <c r="Q34" s="18"/>
      <c r="R34" s="17"/>
    </row>
    <row r="35" spans="1:18" x14ac:dyDescent="0.3">
      <c r="A35" s="14"/>
      <c r="B35" s="44">
        <v>15000</v>
      </c>
      <c r="C35" s="19">
        <v>7500</v>
      </c>
      <c r="D35" s="45">
        <v>7500</v>
      </c>
      <c r="F35" s="19"/>
      <c r="G35" s="19"/>
      <c r="H35" s="19"/>
      <c r="I35" s="17"/>
      <c r="O35" s="18"/>
      <c r="P35" s="17"/>
      <c r="Q35" s="18"/>
      <c r="R35" s="17"/>
    </row>
    <row r="36" spans="1:18" x14ac:dyDescent="0.3">
      <c r="A36" s="14"/>
      <c r="B36" s="44">
        <v>9000</v>
      </c>
      <c r="C36" s="19">
        <v>5000</v>
      </c>
      <c r="D36" s="45">
        <v>5000</v>
      </c>
      <c r="F36" s="19"/>
      <c r="G36" s="19"/>
      <c r="H36" s="19"/>
      <c r="I36" s="17"/>
      <c r="O36" s="18"/>
      <c r="P36" s="17"/>
      <c r="Q36" s="18"/>
      <c r="R36" s="17"/>
    </row>
    <row r="37" spans="1:18" x14ac:dyDescent="0.3">
      <c r="A37" s="14"/>
      <c r="B37" s="44">
        <v>6000</v>
      </c>
      <c r="C37" s="19">
        <v>4000</v>
      </c>
      <c r="D37" s="45">
        <f>B37*0.75</f>
        <v>4500</v>
      </c>
      <c r="F37" s="19"/>
      <c r="G37" s="19"/>
      <c r="H37" s="19"/>
      <c r="I37" s="17"/>
      <c r="O37" s="18"/>
      <c r="P37" s="17"/>
      <c r="Q37" s="18"/>
      <c r="R37" s="17"/>
    </row>
    <row r="38" spans="1:18" x14ac:dyDescent="0.3">
      <c r="A38" s="14"/>
      <c r="B38" s="44">
        <v>4500</v>
      </c>
      <c r="C38" s="19">
        <v>3350</v>
      </c>
      <c r="D38" s="45">
        <v>3700</v>
      </c>
      <c r="F38" s="19"/>
      <c r="G38" s="19"/>
      <c r="H38" s="19"/>
      <c r="I38" s="17"/>
      <c r="O38" s="18"/>
      <c r="P38" s="17"/>
      <c r="Q38" s="18"/>
      <c r="R38" s="17"/>
    </row>
    <row r="39" spans="1:18" ht="15" thickBot="1" x14ac:dyDescent="0.35">
      <c r="A39" s="14"/>
      <c r="B39" s="46">
        <v>3000</v>
      </c>
      <c r="C39" s="47">
        <v>2700</v>
      </c>
      <c r="D39" s="48">
        <f>B39*1</f>
        <v>3000</v>
      </c>
      <c r="F39" s="19"/>
      <c r="G39" s="19"/>
      <c r="H39" s="19"/>
      <c r="I39" s="17"/>
      <c r="O39" s="18"/>
      <c r="P39" s="17"/>
      <c r="Q39" s="18"/>
      <c r="R39" s="17"/>
    </row>
    <row r="40" spans="1:18" x14ac:dyDescent="0.3">
      <c r="A40" s="14"/>
      <c r="B40" s="19"/>
      <c r="C40" s="19"/>
      <c r="D40" s="19"/>
      <c r="G40" s="18"/>
      <c r="H40" s="18"/>
      <c r="I40" s="17"/>
      <c r="O40" s="18"/>
      <c r="P40" s="17"/>
      <c r="Q40" s="18"/>
      <c r="R40" s="17"/>
    </row>
    <row r="41" spans="1:18" x14ac:dyDescent="0.3">
      <c r="A41" s="13"/>
      <c r="B41" s="12"/>
      <c r="D41" s="12"/>
    </row>
    <row r="42" spans="1:18" ht="15" thickBot="1" x14ac:dyDescent="0.35">
      <c r="A42" s="13"/>
      <c r="B42" s="12"/>
      <c r="D42" s="12"/>
    </row>
    <row r="43" spans="1:18" x14ac:dyDescent="0.3">
      <c r="B43" s="49" t="s">
        <v>77</v>
      </c>
      <c r="C43" s="50"/>
      <c r="D43" s="50"/>
      <c r="E43" s="50" t="s">
        <v>113</v>
      </c>
      <c r="F43" s="51"/>
    </row>
    <row r="44" spans="1:18" x14ac:dyDescent="0.3">
      <c r="B44" s="36" t="s">
        <v>108</v>
      </c>
      <c r="C44">
        <v>1000</v>
      </c>
      <c r="E44" s="59">
        <f>IF('Res Compliance Calculator'!D28="Mixed-Use",(1000*'Res Compliance Calculator'!D35),0)</f>
        <v>0</v>
      </c>
      <c r="F44" s="37"/>
    </row>
    <row r="45" spans="1:18" x14ac:dyDescent="0.3">
      <c r="B45" s="36" t="s">
        <v>109</v>
      </c>
      <c r="C45">
        <v>2000</v>
      </c>
      <c r="D45" t="s">
        <v>110</v>
      </c>
      <c r="E45" s="59">
        <f>IF(AND('Res Compliance Calculator'!D35&gt;=43560,'Res Compliance Calculator'!D36&gt;1, OR('Res Compliance Calculator'!D28="Single Family",'Res Compliance Calculator'!D28="Duplex")),(2000*('Res Compliance Calculator'!D36-1)),0)</f>
        <v>0</v>
      </c>
      <c r="F45" s="37"/>
    </row>
    <row r="46" spans="1:18" ht="15" thickBot="1" x14ac:dyDescent="0.35">
      <c r="B46" s="38" t="s">
        <v>111</v>
      </c>
      <c r="C46" s="42">
        <v>300</v>
      </c>
      <c r="D46" s="42" t="s">
        <v>112</v>
      </c>
      <c r="E46" s="42">
        <f>IF('Res Compliance Calculator'!D28="Multi-Family",300*'Res Compliance Calculator'!D36,0)</f>
        <v>0</v>
      </c>
      <c r="F46" s="39"/>
    </row>
    <row r="47" spans="1:18" ht="15" thickBot="1" x14ac:dyDescent="0.35"/>
    <row r="48" spans="1:18" x14ac:dyDescent="0.3">
      <c r="B48" s="60" t="s">
        <v>97</v>
      </c>
    </row>
    <row r="49" spans="2:3" x14ac:dyDescent="0.3">
      <c r="B49" s="61" t="s">
        <v>114</v>
      </c>
    </row>
    <row r="50" spans="2:3" x14ac:dyDescent="0.3">
      <c r="B50" s="61" t="s">
        <v>157</v>
      </c>
      <c r="C50" s="1"/>
    </row>
    <row r="51" spans="2:3" x14ac:dyDescent="0.3">
      <c r="B51" s="61" t="s">
        <v>156</v>
      </c>
      <c r="C51" s="1"/>
    </row>
    <row r="52" spans="2:3" x14ac:dyDescent="0.3">
      <c r="B52" s="61" t="s">
        <v>155</v>
      </c>
      <c r="C52" s="1"/>
    </row>
    <row r="53" spans="2:3" ht="15" thickBot="1" x14ac:dyDescent="0.35">
      <c r="B53" s="62" t="s">
        <v>53</v>
      </c>
      <c r="C53" s="1"/>
    </row>
    <row r="54" spans="2:3" ht="15" thickBot="1" x14ac:dyDescent="0.35"/>
    <row r="55" spans="2:3" x14ac:dyDescent="0.3">
      <c r="B55" s="49" t="s">
        <v>168</v>
      </c>
      <c r="C55" s="51" t="s">
        <v>174</v>
      </c>
    </row>
    <row r="56" spans="2:3" x14ac:dyDescent="0.3">
      <c r="B56" s="36" t="s">
        <v>169</v>
      </c>
      <c r="C56" s="37" t="s">
        <v>72</v>
      </c>
    </row>
    <row r="57" spans="2:3" x14ac:dyDescent="0.3">
      <c r="B57" s="36" t="s">
        <v>170</v>
      </c>
      <c r="C57" s="37" t="s">
        <v>72</v>
      </c>
    </row>
    <row r="58" spans="2:3" x14ac:dyDescent="0.3">
      <c r="B58" s="36" t="s">
        <v>171</v>
      </c>
      <c r="C58" s="37" t="s">
        <v>173</v>
      </c>
    </row>
    <row r="59" spans="2:3" x14ac:dyDescent="0.3">
      <c r="B59" s="36" t="s">
        <v>175</v>
      </c>
      <c r="C59" s="37" t="s">
        <v>173</v>
      </c>
    </row>
    <row r="60" spans="2:3" x14ac:dyDescent="0.3">
      <c r="B60" s="36" t="s">
        <v>176</v>
      </c>
      <c r="C60" s="37" t="s">
        <v>173</v>
      </c>
    </row>
    <row r="61" spans="2:3" x14ac:dyDescent="0.3">
      <c r="B61" s="36" t="s">
        <v>177</v>
      </c>
      <c r="C61" s="37" t="s">
        <v>173</v>
      </c>
    </row>
    <row r="62" spans="2:3" ht="15" thickBot="1" x14ac:dyDescent="0.35">
      <c r="B62" s="38" t="s">
        <v>178</v>
      </c>
      <c r="C62" s="39" t="s">
        <v>173</v>
      </c>
    </row>
    <row r="65" spans="2:5" ht="15" thickBot="1" x14ac:dyDescent="0.35">
      <c r="B65" s="520" t="s">
        <v>348</v>
      </c>
      <c r="C65" s="521"/>
      <c r="D65" s="521"/>
      <c r="E65" s="522"/>
    </row>
    <row r="66" spans="2:5" ht="15" thickBot="1" x14ac:dyDescent="0.35">
      <c r="B66" s="213" t="s">
        <v>13</v>
      </c>
      <c r="C66" s="214" t="s">
        <v>16</v>
      </c>
      <c r="D66" s="214" t="s">
        <v>17</v>
      </c>
      <c r="E66" s="214" t="s">
        <v>18</v>
      </c>
    </row>
    <row r="67" spans="2:5" ht="15" thickBot="1" x14ac:dyDescent="0.35">
      <c r="B67" s="215" t="s">
        <v>349</v>
      </c>
      <c r="C67" s="216">
        <v>205</v>
      </c>
      <c r="D67" s="216">
        <v>430</v>
      </c>
      <c r="E67" s="216">
        <v>430</v>
      </c>
    </row>
    <row r="68" spans="2:5" ht="15" thickBot="1" x14ac:dyDescent="0.35">
      <c r="B68" s="215" t="s">
        <v>350</v>
      </c>
      <c r="C68" s="216">
        <v>455</v>
      </c>
      <c r="D68" s="216">
        <v>910</v>
      </c>
      <c r="E68" s="216">
        <v>910</v>
      </c>
    </row>
    <row r="69" spans="2:5" ht="15" thickBot="1" x14ac:dyDescent="0.35">
      <c r="B69" s="215" t="s">
        <v>351</v>
      </c>
      <c r="C69" s="216">
        <v>630</v>
      </c>
      <c r="D69" s="217">
        <v>1260</v>
      </c>
      <c r="E69" s="217">
        <v>1260</v>
      </c>
    </row>
    <row r="70" spans="2:5" ht="15" thickBot="1" x14ac:dyDescent="0.35">
      <c r="B70" s="215" t="s">
        <v>352</v>
      </c>
      <c r="C70" s="216">
        <v>900</v>
      </c>
      <c r="D70" s="217">
        <v>1125</v>
      </c>
      <c r="E70" s="217">
        <v>1600</v>
      </c>
    </row>
  </sheetData>
  <sortState xmlns:xlrd2="http://schemas.microsoft.com/office/spreadsheetml/2017/richdata2" ref="B10:E18">
    <sortCondition ref="B10:B18"/>
  </sortState>
  <mergeCells count="6">
    <mergeCell ref="J21:N21"/>
    <mergeCell ref="B65:E65"/>
    <mergeCell ref="B1:C1"/>
    <mergeCell ref="B8:C8"/>
    <mergeCell ref="B30:D30"/>
    <mergeCell ref="B21:G21"/>
  </mergeCells>
  <phoneticPr fontId="3" type="noConversion"/>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Changes Made</vt:lpstr>
      <vt:lpstr>Landing Page</vt:lpstr>
      <vt:lpstr>Definitions</vt:lpstr>
      <vt:lpstr>Prohibitions</vt:lpstr>
      <vt:lpstr>Res Overview</vt:lpstr>
      <vt:lpstr>Res Compliance Calculator</vt:lpstr>
      <vt:lpstr>Res Parcel Fail Analysis</vt:lpstr>
      <vt:lpstr>Res - Proposed Fixture analysis</vt:lpstr>
      <vt:lpstr>Res - Ordinance Values</vt:lpstr>
      <vt:lpstr>NonRes Overview</vt:lpstr>
      <vt:lpstr>NonRes Compliance Calculator</vt:lpstr>
      <vt:lpstr>Notes for Specific Applications</vt:lpstr>
      <vt:lpstr>NonRes Parcel Fail Analysis</vt:lpstr>
      <vt:lpstr>NonRes - Proposed Fixture</vt:lpstr>
      <vt:lpstr>Non-res - Ordinance Values</vt:lpstr>
      <vt:lpstr>Ref - Zone Districts</vt:lpstr>
      <vt:lpstr>Res - existing Fixtures</vt:lpstr>
      <vt:lpstr>Nonres - existing fixtures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dc:creator>
  <cp:lastModifiedBy>Owen Palcsik</cp:lastModifiedBy>
  <cp:lastPrinted>2024-12-12T17:03:02Z</cp:lastPrinted>
  <dcterms:created xsi:type="dcterms:W3CDTF">2022-08-24T03:11:52Z</dcterms:created>
  <dcterms:modified xsi:type="dcterms:W3CDTF">2025-08-19T16:06:49Z</dcterms:modified>
</cp:coreProperties>
</file>